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0" windowWidth="13170" windowHeight="11760" tabRatio="698" firstSheet="1" activeTab="7"/>
  </bookViews>
  <sheets>
    <sheet name="січ" sheetId="1" r:id="rId1"/>
    <sheet name="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" sheetId="8" r:id="rId8"/>
    <sheet name="вер" sheetId="9" r:id="rId9"/>
  </sheets>
  <definedNames>
    <definedName name="_xlnm.Print_Area" localSheetId="2">'бер'!$A$1:$AG$99</definedName>
    <definedName name="_xlnm.Print_Area" localSheetId="8">'вер'!$A$1:$AG$99</definedName>
    <definedName name="_xlnm.Print_Area" localSheetId="3">'квіт'!$A$1:$AG$99</definedName>
    <definedName name="_xlnm.Print_Area" localSheetId="6">'лип'!$A$1:$AG$99</definedName>
    <definedName name="_xlnm.Print_Area" localSheetId="1">'лют'!$A$1:$AG$99</definedName>
    <definedName name="_xlnm.Print_Area" localSheetId="7">'сер'!$A$1:$AG$99</definedName>
    <definedName name="_xlnm.Print_Area" localSheetId="0">'січ'!$A$1:$AG$99</definedName>
    <definedName name="_xlnm.Print_Area" localSheetId="4">'трав'!$A$1:$AG$99</definedName>
    <definedName name="_xlnm.Print_Area" localSheetId="5">'черв'!$A$1:$AG$99</definedName>
  </definedNames>
  <calcPr fullCalcOnLoad="1"/>
</workbook>
</file>

<file path=xl/sharedStrings.xml><?xml version="1.0" encoding="utf-8"?>
<sst xmlns="http://schemas.openxmlformats.org/spreadsheetml/2006/main" count="936" uniqueCount="71">
  <si>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</si>
  <si>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</si>
  <si>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</si>
  <si>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</si>
  <si>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</si>
  <si>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</si>
  <si>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</si>
  <si>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</si>
  <si>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</si>
  <si>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</si>
  <si>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</si>
  <si>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</si>
  <si>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</si>
  <si>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</si>
  <si>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</si>
  <si>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</si>
  <si>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</si>
  <si>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</si>
  <si>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</si>
  <si>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</si>
  <si>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</si>
  <si>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</si>
  <si>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</si>
  <si>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</si>
  <si>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</si>
  <si>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</si>
  <si>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</si>
  <si>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</si>
  <si>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</si>
  <si>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</si>
  <si>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</si>
  <si>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</si>
  <si>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</si>
  <si>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</si>
  <si>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</si>
  <si>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</si>
  <si>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</si>
  <si>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</si>
  <si>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</si>
  <si>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</si>
  <si>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</si>
  <si>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</si>
  <si>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</si>
  <si>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</si>
  <si>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</si>
  <si>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</si>
  <si>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</si>
  <si>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</si>
  <si>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</si>
  <si>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</si>
  <si>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</si>
  <si>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</si>
  <si>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</si>
  <si>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</si>
  <si>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</si>
  <si>
    <t>по міському бюджету м.Черкаси у БЕРЕЗНІ 2017 р.</t>
  </si>
  <si>
    <t>надійшло доходів/план видатків
 на березень</t>
  </si>
  <si>
    <t>по міському бюджету м.Черкаси у КВІТНІ 2017 р.</t>
  </si>
  <si>
    <t>надійшло доходів/план видатків
 на квітень</t>
  </si>
  <si>
    <t>Субвенція державному бюджету</t>
  </si>
  <si>
    <t>по міському бюджету м.Черкаси у ТРАВНІ 2017 р.</t>
  </si>
  <si>
    <t>надійшло доходів/план видатків
 на травень</t>
  </si>
  <si>
    <t>по міському бюджету м.Черкаси у ЧЕРВНІ 2017 р.</t>
  </si>
  <si>
    <t>надійшло доходів/план видатків
 на червень</t>
  </si>
  <si>
    <t>Субвенція державному та обласному бюджетам</t>
  </si>
  <si>
    <t>надійшло доходів/план видатків
 на липень</t>
  </si>
  <si>
    <t>по міському бюджету м.Черкаси у ЛИПНІ 2017 р.</t>
  </si>
  <si>
    <t>по міському бюджету м.Черкаси у СЕРПНІ 2017 р.</t>
  </si>
  <si>
    <t>надійшло доходів/план видатків
 на серпень</t>
  </si>
  <si>
    <t>по міському бюджету м.Черкаси у ВЕРЕСНІ 2017 р.</t>
  </si>
  <si>
    <t>надійшло доходів/план видатків
 на вересень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</si>
</sst>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2" fillId="24" borderId="10" xfId="0" applyFont="1" applyFill="1" applyBorder="1" applyAlignment="1">
      <alignment wrapText="1"/>
    </xf>
    <xf numFmtId="0" fontId="4" fillId="24" borderId="10" xfId="0" applyFont="1" applyFill="1" applyBorder="1" applyAlignment="1">
      <alignment horizontal="left" wrapText="1" indent="1"/>
    </xf>
    <xf numFmtId="0" fontId="20" fillId="24" borderId="10" xfId="0" applyFont="1" applyFill="1" applyBorder="1" applyAlignment="1">
      <alignment wrapText="1"/>
    </xf>
    <xf numFmtId="196" fontId="10" fillId="24" borderId="10" xfId="0" applyNumberFormat="1" applyFont="1" applyFill="1" applyBorder="1" applyAlignment="1">
      <alignment/>
    </xf>
    <xf numFmtId="0" fontId="4" fillId="24" borderId="10" xfId="0" applyFont="1" applyFill="1" applyBorder="1" applyAlignment="1">
      <alignment wrapText="1"/>
    </xf>
    <xf numFmtId="0" fontId="4" fillId="24" borderId="11" xfId="0" applyFont="1" applyFill="1" applyBorder="1" applyAlignment="1">
      <alignment horizontal="left" wrapText="1" inden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" sqref="W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45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.7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.7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.7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.7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.7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.7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.7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.7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.7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.7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.7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.7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.7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.7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.7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.7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.7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.7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.7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.7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.7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.7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1.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.7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.7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.7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.7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.7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.7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.7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.7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.7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.7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.7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2.7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55" sqref="R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53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13493.9</v>
      </c>
      <c r="AF7" s="72"/>
      <c r="AG7" s="48"/>
    </row>
    <row r="8" spans="1:55" ht="18" customHeight="1">
      <c r="A8" s="60" t="s">
        <v>30</v>
      </c>
      <c r="B8" s="40">
        <f>SUM(D8:AB8)</f>
        <v>103008.29999999997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>
        <v>6216.7</v>
      </c>
      <c r="P8" s="55">
        <v>4962.8</v>
      </c>
      <c r="Q8" s="55">
        <v>7900.9</v>
      </c>
      <c r="R8" s="55">
        <v>4687.9</v>
      </c>
      <c r="S8" s="57">
        <v>4141</v>
      </c>
      <c r="T8" s="57">
        <v>4980.5</v>
      </c>
      <c r="U8" s="55">
        <v>3227.7</v>
      </c>
      <c r="V8" s="55">
        <v>4206.9</v>
      </c>
      <c r="W8" s="55">
        <v>10341.2</v>
      </c>
      <c r="X8" s="56"/>
      <c r="Y8" s="56"/>
      <c r="Z8" s="56"/>
      <c r="AA8" s="56"/>
      <c r="AB8" s="55"/>
      <c r="AC8" s="23"/>
      <c r="AD8" s="23"/>
      <c r="AE8" s="61">
        <v>66186.9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142954.99999999997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4780.8</v>
      </c>
      <c r="P9" s="24">
        <f t="shared" si="0"/>
        <v>1125.3</v>
      </c>
      <c r="Q9" s="24">
        <f t="shared" si="0"/>
        <v>8573.2</v>
      </c>
      <c r="R9" s="24">
        <f t="shared" si="0"/>
        <v>4610.299999999999</v>
      </c>
      <c r="S9" s="24">
        <f t="shared" si="0"/>
        <v>2304.3000000000006</v>
      </c>
      <c r="T9" s="24">
        <f t="shared" si="0"/>
        <v>14989.5</v>
      </c>
      <c r="U9" s="24">
        <f t="shared" si="0"/>
        <v>36113.5</v>
      </c>
      <c r="V9" s="24">
        <f t="shared" si="0"/>
        <v>6378.000000000001</v>
      </c>
      <c r="W9" s="24">
        <f t="shared" si="0"/>
        <v>9882.4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131605.80000000002</v>
      </c>
      <c r="AG9" s="50">
        <f>AG10+AG15+AG24+AG33+AG47+AG52+AG54+AG61+AG62+AG71+AG72+AG76+AG88+AG81+AG83+AG82+AG69+AG89+AG91+AG90+AG70+AG40+AG92</f>
        <v>60274.09999999999</v>
      </c>
      <c r="AH9" s="49"/>
      <c r="AI9" s="49"/>
    </row>
    <row r="10" spans="1:33" ht="15.7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>
        <v>54.9</v>
      </c>
      <c r="P10" s="22">
        <v>18.9</v>
      </c>
      <c r="Q10" s="22">
        <v>21.9</v>
      </c>
      <c r="R10" s="22">
        <v>0.1</v>
      </c>
      <c r="S10" s="26">
        <v>15.6</v>
      </c>
      <c r="T10" s="26">
        <v>311.1</v>
      </c>
      <c r="U10" s="26">
        <v>1694.5</v>
      </c>
      <c r="V10" s="26">
        <v>1935.1</v>
      </c>
      <c r="W10" s="26">
        <v>26.3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6965.900000000001</v>
      </c>
      <c r="AG10" s="27">
        <f>B10+C10-AF10</f>
        <v>14423.699999999997</v>
      </c>
    </row>
    <row r="11" spans="1:33" ht="15.75">
      <c r="A11" s="3" t="s">
        <v>5</v>
      </c>
      <c r="B11" s="22">
        <f>12893.1-10-25.7</f>
        <v>12857.4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>
        <v>46.2</v>
      </c>
      <c r="P11" s="22"/>
      <c r="Q11" s="22"/>
      <c r="R11" s="22">
        <v>0.1</v>
      </c>
      <c r="S11" s="26"/>
      <c r="T11" s="26">
        <v>225.9</v>
      </c>
      <c r="U11" s="26">
        <v>1690.4</v>
      </c>
      <c r="V11" s="26">
        <v>1880.4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6452.4</v>
      </c>
      <c r="AG11" s="27">
        <f>B11+C11-AF11</f>
        <v>12872.500000000002</v>
      </c>
    </row>
    <row r="12" spans="1:33" ht="15.7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>
        <v>22.8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34.2</v>
      </c>
      <c r="AG12" s="27">
        <f>B12+C12-AF12</f>
        <v>729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>B10-B11-B12</f>
        <v>798.2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8.699999999999996</v>
      </c>
      <c r="P14" s="22">
        <f t="shared" si="2"/>
        <v>18.9</v>
      </c>
      <c r="Q14" s="22">
        <f t="shared" si="2"/>
        <v>21.9</v>
      </c>
      <c r="R14" s="22">
        <f t="shared" si="2"/>
        <v>0</v>
      </c>
      <c r="S14" s="22">
        <f t="shared" si="2"/>
        <v>15.6</v>
      </c>
      <c r="T14" s="22">
        <f t="shared" si="2"/>
        <v>85.20000000000002</v>
      </c>
      <c r="U14" s="22">
        <f t="shared" si="2"/>
        <v>4.099999999999909</v>
      </c>
      <c r="V14" s="22">
        <f t="shared" si="2"/>
        <v>31.899999999999817</v>
      </c>
      <c r="W14" s="22">
        <f t="shared" si="2"/>
        <v>26.3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479.2999999999995</v>
      </c>
      <c r="AG14" s="27">
        <f>AG10-AG11-AG12-AG13</f>
        <v>822.1999999999953</v>
      </c>
    </row>
    <row r="15" spans="1:33" ht="15" customHeight="1">
      <c r="A15" s="4" t="s">
        <v>6</v>
      </c>
      <c r="B15" s="22">
        <f>59208.2-3139.9+50-253.7-0.3</f>
        <v>55864.299999999996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>
        <v>946.1</v>
      </c>
      <c r="Q15" s="27">
        <v>4113.7</v>
      </c>
      <c r="R15" s="22">
        <v>1906.3</v>
      </c>
      <c r="S15" s="26">
        <v>1145.7</v>
      </c>
      <c r="T15" s="26">
        <v>13071.9</v>
      </c>
      <c r="U15" s="26">
        <v>14499.5</v>
      </c>
      <c r="V15" s="26">
        <v>2217</v>
      </c>
      <c r="W15" s="26">
        <v>39.1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55635.9</v>
      </c>
      <c r="AG15" s="27">
        <f aca="true" t="shared" si="3" ref="AG15:AG31">B15+C15-AF15</f>
        <v>22420.399999999987</v>
      </c>
    </row>
    <row r="16" spans="1:34" s="70" customFormat="1" ht="15" customHeight="1">
      <c r="A16" s="65" t="s">
        <v>38</v>
      </c>
      <c r="B16" s="66">
        <f>20273.8-3139.9-0.1</f>
        <v>17133.8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>
        <v>9792.3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17866.1</v>
      </c>
      <c r="AG16" s="71">
        <f t="shared" si="3"/>
        <v>1617.2999999999993</v>
      </c>
      <c r="AH16" s="75"/>
    </row>
    <row r="17" spans="1:34" ht="15.75">
      <c r="A17" s="3" t="s">
        <v>5</v>
      </c>
      <c r="B17" s="22">
        <f>40923.2-3139.9+510</f>
        <v>38293.299999999996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>
        <v>13071.9</v>
      </c>
      <c r="U17" s="26">
        <v>6973.3</v>
      </c>
      <c r="V17" s="26">
        <v>1906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37973.200000000004</v>
      </c>
      <c r="AG17" s="27">
        <f t="shared" si="3"/>
        <v>4446.399999999994</v>
      </c>
      <c r="AH17" s="6"/>
    </row>
    <row r="18" spans="1:33" ht="15.7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.75">
      <c r="A19" s="3" t="s">
        <v>1</v>
      </c>
      <c r="B19" s="22">
        <f>3100.6-180.5</f>
        <v>2920.1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>
        <v>165.5</v>
      </c>
      <c r="Q19" s="27">
        <v>636</v>
      </c>
      <c r="R19" s="22"/>
      <c r="S19" s="26">
        <v>126.3</v>
      </c>
      <c r="T19" s="26"/>
      <c r="U19" s="26">
        <v>890.8</v>
      </c>
      <c r="V19" s="26">
        <v>56.1</v>
      </c>
      <c r="W19" s="26">
        <v>6.4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3022.3</v>
      </c>
      <c r="AG19" s="27">
        <f t="shared" si="3"/>
        <v>1039.2999999999997</v>
      </c>
    </row>
    <row r="20" spans="1:33" ht="15.75">
      <c r="A20" s="3" t="s">
        <v>2</v>
      </c>
      <c r="B20" s="22">
        <f>12954.8-19.9-49.8-510</f>
        <v>12375.1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>
        <v>704.4</v>
      </c>
      <c r="Q20" s="27">
        <v>3378.9</v>
      </c>
      <c r="R20" s="22">
        <v>1906.3</v>
      </c>
      <c r="S20" s="26">
        <v>468.5</v>
      </c>
      <c r="T20" s="26"/>
      <c r="U20" s="26">
        <v>6301.9</v>
      </c>
      <c r="V20" s="26">
        <v>20.7</v>
      </c>
      <c r="W20" s="26">
        <v>31.8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13137.5</v>
      </c>
      <c r="AG20" s="27">
        <f t="shared" si="3"/>
        <v>15491.099999999999</v>
      </c>
    </row>
    <row r="21" spans="1:33" ht="15.75">
      <c r="A21" s="3" t="s">
        <v>16</v>
      </c>
      <c r="B21" s="22">
        <f>1294.2-73.2</f>
        <v>1221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>
        <v>488.1</v>
      </c>
      <c r="T21" s="26"/>
      <c r="U21" s="22">
        <v>284.1</v>
      </c>
      <c r="V21" s="22">
        <v>207.8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1188.4</v>
      </c>
      <c r="AG21" s="27">
        <f t="shared" si="3"/>
        <v>269.39999999999986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1053.8999999999978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76.20000000000005</v>
      </c>
      <c r="Q23" s="22">
        <f t="shared" si="4"/>
        <v>98.79999999999973</v>
      </c>
      <c r="R23" s="22">
        <f t="shared" si="4"/>
        <v>0</v>
      </c>
      <c r="S23" s="22">
        <f t="shared" si="4"/>
        <v>62.80000000000007</v>
      </c>
      <c r="T23" s="22">
        <f t="shared" si="4"/>
        <v>0</v>
      </c>
      <c r="U23" s="22">
        <f t="shared" si="4"/>
        <v>49.39999999999998</v>
      </c>
      <c r="V23" s="22">
        <f t="shared" si="4"/>
        <v>26.400000000000006</v>
      </c>
      <c r="W23" s="22">
        <f t="shared" si="4"/>
        <v>0.9000000000000021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314.50000000000136</v>
      </c>
      <c r="AG23" s="27">
        <f t="shared" si="3"/>
        <v>1168.6999999999987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>
        <v>242.1</v>
      </c>
      <c r="P24" s="22"/>
      <c r="Q24" s="27">
        <v>3327.1</v>
      </c>
      <c r="R24" s="27"/>
      <c r="S24" s="26">
        <v>2.3</v>
      </c>
      <c r="T24" s="26"/>
      <c r="U24" s="26">
        <v>17653.4</v>
      </c>
      <c r="V24" s="26">
        <v>33.8</v>
      </c>
      <c r="W24" s="26">
        <f>29.4-31.5</f>
        <v>-2.1000000000000014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32708.4</v>
      </c>
      <c r="AG24" s="27">
        <f t="shared" si="3"/>
        <v>9096.900000000001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>
        <v>167.7</v>
      </c>
      <c r="P25" s="66"/>
      <c r="Q25" s="69">
        <v>672.4</v>
      </c>
      <c r="R25" s="69"/>
      <c r="S25" s="68">
        <v>2.3</v>
      </c>
      <c r="T25" s="68"/>
      <c r="U25" s="68">
        <v>8064</v>
      </c>
      <c r="V25" s="68">
        <v>287.9</v>
      </c>
      <c r="W25" s="68">
        <v>29.4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18413.300000000003</v>
      </c>
      <c r="AG25" s="71">
        <f t="shared" si="3"/>
        <v>4800.599999999995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242.1</v>
      </c>
      <c r="P32" s="22">
        <f t="shared" si="5"/>
        <v>0</v>
      </c>
      <c r="Q32" s="22">
        <f t="shared" si="5"/>
        <v>3327.1</v>
      </c>
      <c r="R32" s="22">
        <f t="shared" si="5"/>
        <v>0</v>
      </c>
      <c r="S32" s="22">
        <f t="shared" si="5"/>
        <v>2.3</v>
      </c>
      <c r="T32" s="22">
        <f t="shared" si="5"/>
        <v>0</v>
      </c>
      <c r="U32" s="22">
        <f t="shared" si="5"/>
        <v>17653.4</v>
      </c>
      <c r="V32" s="22">
        <f t="shared" si="5"/>
        <v>33.8</v>
      </c>
      <c r="W32" s="22">
        <f t="shared" si="5"/>
        <v>-2.1000000000000014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32708.4</v>
      </c>
      <c r="AG32" s="27">
        <f>AG24</f>
        <v>9096.900000000001</v>
      </c>
    </row>
    <row r="33" spans="1:33" ht="15" customHeight="1">
      <c r="A33" s="4" t="s">
        <v>8</v>
      </c>
      <c r="B33" s="22">
        <f>313.1+200-0.1</f>
        <v>513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>
        <v>59.3</v>
      </c>
      <c r="V33" s="26">
        <v>73.6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194.5</v>
      </c>
      <c r="AG33" s="27">
        <f aca="true" t="shared" si="6" ref="AG33:AG38">B33+C33-AF33</f>
        <v>433.5</v>
      </c>
    </row>
    <row r="34" spans="1:33" ht="15.75">
      <c r="A34" s="3" t="s">
        <v>5</v>
      </c>
      <c r="B34" s="22">
        <v>235.6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>
        <v>59.3</v>
      </c>
      <c r="V34" s="26">
        <v>73.6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193.7</v>
      </c>
      <c r="AG34" s="27">
        <f t="shared" si="6"/>
        <v>75.30000000000001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203.89999999999998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</v>
      </c>
    </row>
    <row r="40" spans="1:33" ht="15" customHeight="1">
      <c r="A40" s="4" t="s">
        <v>29</v>
      </c>
      <c r="B40" s="22">
        <v>1062.3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>
        <v>2.2</v>
      </c>
      <c r="Q40" s="27"/>
      <c r="R40" s="27"/>
      <c r="S40" s="26"/>
      <c r="T40" s="26"/>
      <c r="U40" s="26">
        <v>579</v>
      </c>
      <c r="V40" s="26">
        <v>1.8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1074.8</v>
      </c>
      <c r="AG40" s="27">
        <f aca="true" t="shared" si="8" ref="AG40:AG45">B40+C40-AF40</f>
        <v>238.29999999999995</v>
      </c>
    </row>
    <row r="41" spans="1:34" ht="15.7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572.1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886.2</v>
      </c>
      <c r="AG41" s="27">
        <f t="shared" si="8"/>
        <v>71.69999999999993</v>
      </c>
      <c r="AH41" s="6"/>
    </row>
    <row r="42" spans="1:33" ht="15.7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.7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.75">
      <c r="A44" s="3" t="s">
        <v>2</v>
      </c>
      <c r="B44" s="22">
        <v>178.3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>
        <v>2.2</v>
      </c>
      <c r="Q44" s="22"/>
      <c r="R44" s="22"/>
      <c r="S44" s="26"/>
      <c r="T44" s="26"/>
      <c r="U44" s="26">
        <v>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164.39999999999998</v>
      </c>
      <c r="AG44" s="27">
        <f t="shared" si="8"/>
        <v>146.20000000000005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27.799999999999955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0.8999999999999773</v>
      </c>
      <c r="V46" s="22">
        <f t="shared" si="10"/>
        <v>1.8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18.79999999999998</v>
      </c>
      <c r="AG46" s="27">
        <f>AG40-AG41-AG42-AG43-AG44-AG45</f>
        <v>17.099999999999966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>
        <v>1.1</v>
      </c>
      <c r="P47" s="28"/>
      <c r="Q47" s="28"/>
      <c r="R47" s="28"/>
      <c r="S47" s="29">
        <v>399</v>
      </c>
      <c r="T47" s="29">
        <v>127.2</v>
      </c>
      <c r="U47" s="28">
        <v>7.6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789.0000000000001</v>
      </c>
      <c r="AG47" s="27">
        <f>B47+C47-AF47</f>
        <v>1046.1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989.4-29.1</f>
        <v>960.3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>
        <v>1.1</v>
      </c>
      <c r="P49" s="22"/>
      <c r="Q49" s="22"/>
      <c r="R49" s="22"/>
      <c r="S49" s="26">
        <v>390.1</v>
      </c>
      <c r="T49" s="26">
        <v>50</v>
      </c>
      <c r="U49" s="22">
        <v>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655</v>
      </c>
      <c r="AG49" s="27">
        <f>B49+C49-AF49</f>
        <v>905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167.9000000000001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8.899999999999977</v>
      </c>
      <c r="T51" s="22">
        <f t="shared" si="11"/>
        <v>77.2</v>
      </c>
      <c r="U51" s="22">
        <f t="shared" si="11"/>
        <v>5.6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133.99999999999997</v>
      </c>
      <c r="AG51" s="27">
        <f>AG47-AG49-AG48</f>
        <v>141.0999999999999</v>
      </c>
    </row>
    <row r="52" spans="1:33" ht="15" customHeight="1">
      <c r="A52" s="4" t="s">
        <v>0</v>
      </c>
      <c r="B52" s="22">
        <f>5274.6+870+129.6</f>
        <v>6274.200000000001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/>
      <c r="N52" s="22">
        <v>190</v>
      </c>
      <c r="O52" s="27">
        <v>524</v>
      </c>
      <c r="P52" s="22">
        <v>63.3</v>
      </c>
      <c r="Q52" s="22">
        <v>11.3</v>
      </c>
      <c r="R52" s="22">
        <v>68.3</v>
      </c>
      <c r="S52" s="26">
        <v>293.9</v>
      </c>
      <c r="T52" s="26">
        <v>953</v>
      </c>
      <c r="U52" s="26">
        <v>327.8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6401.5</v>
      </c>
      <c r="AG52" s="27">
        <f aca="true" t="shared" si="12" ref="AG52:AG59">B52+C52-AF52</f>
        <v>1675.500000000001</v>
      </c>
    </row>
    <row r="53" spans="1:33" ht="15" customHeight="1">
      <c r="A53" s="3" t="s">
        <v>2</v>
      </c>
      <c r="B53" s="22">
        <f>906.1</f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>
        <v>68.3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1112</v>
      </c>
      <c r="AG53" s="27">
        <f t="shared" si="12"/>
        <v>937.8000000000002</v>
      </c>
    </row>
    <row r="54" spans="1:34" ht="15" customHeight="1">
      <c r="A54" s="4" t="s">
        <v>9</v>
      </c>
      <c r="B54" s="44">
        <f>5139.2+146.9</f>
        <v>5286.099999999999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>
        <v>171.2</v>
      </c>
      <c r="P54" s="22">
        <v>8.4</v>
      </c>
      <c r="Q54" s="27">
        <v>128.8</v>
      </c>
      <c r="R54" s="22"/>
      <c r="S54" s="26">
        <v>239.3</v>
      </c>
      <c r="T54" s="26">
        <v>79.6</v>
      </c>
      <c r="U54" s="26">
        <v>50.8</v>
      </c>
      <c r="V54" s="26">
        <v>1967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4816.200000000001</v>
      </c>
      <c r="AG54" s="22">
        <f t="shared" si="12"/>
        <v>1291.0999999999985</v>
      </c>
      <c r="AH54" s="6"/>
    </row>
    <row r="55" spans="1:34" ht="15.75">
      <c r="A55" s="3" t="s">
        <v>5</v>
      </c>
      <c r="B55" s="22">
        <f>3722.1+146.9</f>
        <v>3869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>
        <v>1935.3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3765.5</v>
      </c>
      <c r="AG55" s="22">
        <f t="shared" si="12"/>
        <v>171.5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537.3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>
        <v>160.9</v>
      </c>
      <c r="P57" s="22">
        <v>0.8</v>
      </c>
      <c r="Q57" s="27"/>
      <c r="R57" s="22"/>
      <c r="S57" s="26">
        <v>93.4</v>
      </c>
      <c r="T57" s="26"/>
      <c r="U57" s="26">
        <v>46.9</v>
      </c>
      <c r="V57" s="26">
        <v>11.2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403.7</v>
      </c>
      <c r="AG57" s="22">
        <f t="shared" si="12"/>
        <v>409.09999999999997</v>
      </c>
    </row>
    <row r="58" spans="1:33" ht="15.7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>
        <v>5.1</v>
      </c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10.2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874.6999999999995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5.199999999999983</v>
      </c>
      <c r="P60" s="22">
        <f t="shared" si="13"/>
        <v>7.6000000000000005</v>
      </c>
      <c r="Q60" s="22">
        <f t="shared" si="13"/>
        <v>128.8</v>
      </c>
      <c r="R60" s="22">
        <f t="shared" si="13"/>
        <v>0</v>
      </c>
      <c r="S60" s="22">
        <f t="shared" si="13"/>
        <v>145.9</v>
      </c>
      <c r="T60" s="22">
        <f t="shared" si="13"/>
        <v>79.6</v>
      </c>
      <c r="U60" s="22">
        <f t="shared" si="13"/>
        <v>3.8999999999999986</v>
      </c>
      <c r="V60" s="22">
        <f t="shared" si="13"/>
        <v>20.500000000000046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636.8000000000006</v>
      </c>
      <c r="AG60" s="22">
        <f>AG54-AG55-AG57-AG59-AG56-AG58</f>
        <v>710.4999999999986</v>
      </c>
    </row>
    <row r="61" spans="1:33" ht="15" customHeight="1">
      <c r="A61" s="4" t="s">
        <v>10</v>
      </c>
      <c r="B61" s="22">
        <f>152.3+89.1</f>
        <v>241.4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>
        <v>0.6</v>
      </c>
      <c r="R61" s="22"/>
      <c r="S61" s="26"/>
      <c r="T61" s="26"/>
      <c r="U61" s="26">
        <v>111.5</v>
      </c>
      <c r="V61" s="26">
        <v>89.2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259.6</v>
      </c>
      <c r="AG61" s="22">
        <f aca="true" t="shared" si="15" ref="AG61:AG67">B61+C61-AF61</f>
        <v>83</v>
      </c>
    </row>
    <row r="62" spans="1:33" ht="15" customHeight="1">
      <c r="A62" s="4" t="s">
        <v>11</v>
      </c>
      <c r="B62" s="22">
        <f>2042.2-146.9</f>
        <v>1895.3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>
        <v>74.7</v>
      </c>
      <c r="P62" s="22">
        <v>41.8</v>
      </c>
      <c r="Q62" s="27"/>
      <c r="R62" s="22"/>
      <c r="S62" s="26">
        <v>81.6</v>
      </c>
      <c r="T62" s="26">
        <v>68</v>
      </c>
      <c r="U62" s="26">
        <v>973</v>
      </c>
      <c r="V62" s="26">
        <v>34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1879.1</v>
      </c>
      <c r="AG62" s="22">
        <f t="shared" si="15"/>
        <v>499.8000000000002</v>
      </c>
    </row>
    <row r="63" spans="1:34" ht="15.75">
      <c r="A63" s="3" t="s">
        <v>5</v>
      </c>
      <c r="B63" s="22">
        <f>1194-70</f>
        <v>1124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>
        <v>752.9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1142.5</v>
      </c>
      <c r="AG63" s="22">
        <f t="shared" si="15"/>
        <v>44.299999999999955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74.9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>
        <v>0.5</v>
      </c>
      <c r="P65" s="22">
        <v>7.4</v>
      </c>
      <c r="Q65" s="27"/>
      <c r="R65" s="22"/>
      <c r="S65" s="26">
        <v>2.1</v>
      </c>
      <c r="T65" s="26">
        <v>1.2</v>
      </c>
      <c r="U65" s="26">
        <v>12.9</v>
      </c>
      <c r="V65" s="26">
        <v>5.1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</v>
      </c>
      <c r="AG65" s="22">
        <f t="shared" si="15"/>
        <v>92.4</v>
      </c>
      <c r="AH65" s="6"/>
    </row>
    <row r="66" spans="1:33" ht="15.75">
      <c r="A66" s="3" t="s">
        <v>2</v>
      </c>
      <c r="B66" s="22">
        <f>193.1-1.9</f>
        <v>191.2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>
        <v>73.9</v>
      </c>
      <c r="P66" s="22">
        <v>2.1</v>
      </c>
      <c r="Q66" s="22"/>
      <c r="R66" s="22"/>
      <c r="S66" s="26">
        <v>51.2</v>
      </c>
      <c r="T66" s="26">
        <v>20.8</v>
      </c>
      <c r="U66" s="26">
        <v>16.3</v>
      </c>
      <c r="V66" s="26">
        <v>5.9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178.80000000000004</v>
      </c>
      <c r="AG66" s="22">
        <f t="shared" si="15"/>
        <v>146.09999999999994</v>
      </c>
    </row>
    <row r="67" spans="1:33" ht="15.7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>
        <v>46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80</v>
      </c>
      <c r="AG67" s="22">
        <f t="shared" si="15"/>
        <v>6.5</v>
      </c>
    </row>
    <row r="68" spans="1:33" ht="15.75">
      <c r="A68" s="3" t="s">
        <v>23</v>
      </c>
      <c r="B68" s="22">
        <f aca="true" t="shared" si="16" ref="B68:AD68">B62-B63-B66-B67-B65-B64</f>
        <v>461.9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0.29999999999999716</v>
      </c>
      <c r="P68" s="22">
        <f t="shared" si="16"/>
        <v>32.3</v>
      </c>
      <c r="Q68" s="22">
        <f t="shared" si="16"/>
        <v>0</v>
      </c>
      <c r="R68" s="22">
        <f t="shared" si="16"/>
        <v>0</v>
      </c>
      <c r="S68" s="22">
        <f t="shared" si="16"/>
        <v>28.29999999999999</v>
      </c>
      <c r="T68" s="22">
        <f t="shared" si="16"/>
        <v>2.886579864025407E-15</v>
      </c>
      <c r="U68" s="22">
        <f t="shared" si="16"/>
        <v>190.9</v>
      </c>
      <c r="V68" s="22">
        <f t="shared" si="16"/>
        <v>23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444.79999999999995</v>
      </c>
      <c r="AG68" s="22">
        <f>AG62-AG63-AG66-AG67-AG65-AG64</f>
        <v>210.5000000000003</v>
      </c>
    </row>
    <row r="69" spans="1:33" ht="31.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>
        <v>3483.8</v>
      </c>
      <c r="P69" s="22"/>
      <c r="Q69" s="22"/>
      <c r="R69" s="22">
        <v>2635.6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6119.4</v>
      </c>
      <c r="AG69" s="30">
        <f aca="true" t="shared" si="17" ref="AG69:AG92">B69+C69-AF69</f>
        <v>840.8000000000011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39.7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1641.5</v>
      </c>
      <c r="AG71" s="30">
        <f t="shared" si="17"/>
        <v>389.9000000000001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1599.4-89.1</f>
        <v>1510.3000000000002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>
        <v>19.7</v>
      </c>
      <c r="P72" s="22"/>
      <c r="Q72" s="27">
        <v>150.8</v>
      </c>
      <c r="R72" s="22"/>
      <c r="S72" s="26">
        <v>20.8</v>
      </c>
      <c r="T72" s="26">
        <v>188.8</v>
      </c>
      <c r="U72" s="26">
        <v>59.7</v>
      </c>
      <c r="V72" s="26">
        <v>26.5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592.1</v>
      </c>
      <c r="AG72" s="30">
        <f t="shared" si="17"/>
        <v>1900.9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39.1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39.1</v>
      </c>
      <c r="AG73" s="30">
        <f t="shared" si="17"/>
        <v>0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>
        <v>138.7</v>
      </c>
      <c r="R74" s="22"/>
      <c r="S74" s="26"/>
      <c r="T74" s="26"/>
      <c r="U74" s="26"/>
      <c r="V74" s="26">
        <v>15.9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222.9</v>
      </c>
      <c r="AG74" s="30">
        <f t="shared" si="17"/>
        <v>579.3000000000001</v>
      </c>
    </row>
    <row r="75" spans="1:33" ht="15" customHeight="1">
      <c r="A75" s="3" t="s">
        <v>16</v>
      </c>
      <c r="B75" s="22">
        <f>11.2-9.1</f>
        <v>2.0999999999999996</v>
      </c>
      <c r="C75" s="22">
        <f>84.8-80</f>
        <v>4.799999999999997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0.49999999999999645</v>
      </c>
    </row>
    <row r="76" spans="1:33" s="11" customFormat="1" ht="15.7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>
        <v>27.3</v>
      </c>
      <c r="P76" s="28"/>
      <c r="Q76" s="31"/>
      <c r="R76" s="28"/>
      <c r="S76" s="29">
        <v>5.8</v>
      </c>
      <c r="T76" s="29"/>
      <c r="U76" s="28">
        <v>57.7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90.9</v>
      </c>
      <c r="AG76" s="30">
        <f t="shared" si="17"/>
        <v>130</v>
      </c>
    </row>
    <row r="77" spans="1:33" s="11" customFormat="1" ht="15.75">
      <c r="A77" s="3" t="s">
        <v>5</v>
      </c>
      <c r="B77" s="22">
        <v>84.9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>
        <v>27.3</v>
      </c>
      <c r="P77" s="28"/>
      <c r="Q77" s="31"/>
      <c r="R77" s="28"/>
      <c r="S77" s="29"/>
      <c r="T77" s="29"/>
      <c r="U77" s="28">
        <v>57.1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84.4</v>
      </c>
      <c r="AG77" s="30">
        <f t="shared" si="17"/>
        <v>0.5999999999999943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>
        <v>5.6</v>
      </c>
      <c r="T80" s="29"/>
      <c r="U80" s="28">
        <v>0.6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6.199999999999999</v>
      </c>
      <c r="AG80" s="30">
        <f t="shared" si="17"/>
        <v>8.5</v>
      </c>
    </row>
    <row r="81" spans="1:33" s="11" customFormat="1" ht="15.7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5700+150-870</f>
        <v>4980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>
        <v>11.2</v>
      </c>
      <c r="N89" s="22"/>
      <c r="O89" s="22">
        <v>182</v>
      </c>
      <c r="P89" s="22">
        <v>44.6</v>
      </c>
      <c r="Q89" s="22"/>
      <c r="R89" s="22"/>
      <c r="S89" s="26">
        <v>100.3</v>
      </c>
      <c r="T89" s="26">
        <v>189.9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979.8999999999999</v>
      </c>
      <c r="AG89" s="22">
        <f t="shared" si="17"/>
        <v>4137.5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.7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>
        <v>9000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9000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142954.99999999997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4780.8</v>
      </c>
      <c r="P94" s="42">
        <f t="shared" si="18"/>
        <v>1125.3</v>
      </c>
      <c r="Q94" s="42">
        <f t="shared" si="18"/>
        <v>8573.2</v>
      </c>
      <c r="R94" s="42">
        <f t="shared" si="18"/>
        <v>4610.299999999999</v>
      </c>
      <c r="S94" s="42">
        <f t="shared" si="18"/>
        <v>2304.3000000000006</v>
      </c>
      <c r="T94" s="42">
        <f t="shared" si="18"/>
        <v>14989.5</v>
      </c>
      <c r="U94" s="42">
        <f t="shared" si="18"/>
        <v>36113.5</v>
      </c>
      <c r="V94" s="42">
        <f t="shared" si="18"/>
        <v>6378.000000000001</v>
      </c>
      <c r="W94" s="42">
        <f t="shared" si="18"/>
        <v>9882.4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131605.80000000002</v>
      </c>
      <c r="AG94" s="58">
        <f>AG10+AG15+AG24+AG33+AG47+AG52+AG54+AG61+AG62+AG69+AG71+AG72+AG76+AG81+AG82+AG83+AG88+AG89+AG90+AG91+AG70+AG40+AG92</f>
        <v>60274.09999999999</v>
      </c>
    </row>
    <row r="95" spans="1:33" ht="15.75">
      <c r="A95" s="3" t="s">
        <v>5</v>
      </c>
      <c r="B95" s="22">
        <f aca="true" t="shared" si="19" ref="B95:AD95">B11+B17+B26+B34+B55+B63+B73+B41+B77+B48</f>
        <v>57350.799999999996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73.5</v>
      </c>
      <c r="P95" s="22">
        <f t="shared" si="19"/>
        <v>0</v>
      </c>
      <c r="Q95" s="22">
        <f t="shared" si="19"/>
        <v>0</v>
      </c>
      <c r="R95" s="22">
        <f t="shared" si="19"/>
        <v>0.1</v>
      </c>
      <c r="S95" s="22">
        <f t="shared" si="19"/>
        <v>0</v>
      </c>
      <c r="T95" s="22">
        <f t="shared" si="19"/>
        <v>13336.9</v>
      </c>
      <c r="U95" s="22">
        <f t="shared" si="19"/>
        <v>10105.1</v>
      </c>
      <c r="V95" s="22">
        <f t="shared" si="19"/>
        <v>5795.3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50537</v>
      </c>
      <c r="AG95" s="27">
        <f>B95+C95-AF95</f>
        <v>17682.29999999999</v>
      </c>
    </row>
    <row r="96" spans="1:33" ht="15.75">
      <c r="A96" s="3" t="s">
        <v>2</v>
      </c>
      <c r="B96" s="22">
        <f aca="true" t="shared" si="20" ref="B96:AD96">B12+B20+B29+B36+B57+B66+B44+B80+B74+B53</f>
        <v>15073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234.8</v>
      </c>
      <c r="P96" s="22">
        <f t="shared" si="20"/>
        <v>709.5</v>
      </c>
      <c r="Q96" s="22">
        <f t="shared" si="20"/>
        <v>3517.6</v>
      </c>
      <c r="R96" s="22">
        <f t="shared" si="20"/>
        <v>1974.6</v>
      </c>
      <c r="S96" s="22">
        <f t="shared" si="20"/>
        <v>618.7</v>
      </c>
      <c r="T96" s="22">
        <f t="shared" si="20"/>
        <v>20.8</v>
      </c>
      <c r="U96" s="22">
        <f t="shared" si="20"/>
        <v>6371.7</v>
      </c>
      <c r="V96" s="22">
        <f t="shared" si="20"/>
        <v>76.5</v>
      </c>
      <c r="W96" s="22">
        <f t="shared" si="20"/>
        <v>31.8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15260.099999999999</v>
      </c>
      <c r="AG96" s="27">
        <f>B96+C96-AF96</f>
        <v>18600.700000000004</v>
      </c>
    </row>
    <row r="97" spans="1:33" ht="15.7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.75">
      <c r="A98" s="3" t="s">
        <v>1</v>
      </c>
      <c r="B98" s="22">
        <f aca="true" t="shared" si="22" ref="B98:AD98">B19+B28+B65+B35+B43+B56+B79</f>
        <v>3003.2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0.5</v>
      </c>
      <c r="P98" s="22">
        <f t="shared" si="22"/>
        <v>172.9</v>
      </c>
      <c r="Q98" s="22">
        <f t="shared" si="22"/>
        <v>636</v>
      </c>
      <c r="R98" s="22">
        <f t="shared" si="22"/>
        <v>0</v>
      </c>
      <c r="S98" s="22">
        <f t="shared" si="22"/>
        <v>128.4</v>
      </c>
      <c r="T98" s="22">
        <f t="shared" si="22"/>
        <v>1.2</v>
      </c>
      <c r="U98" s="22">
        <f t="shared" si="22"/>
        <v>903.6999999999999</v>
      </c>
      <c r="V98" s="22">
        <f t="shared" si="22"/>
        <v>61.2</v>
      </c>
      <c r="W98" s="22">
        <f t="shared" si="22"/>
        <v>6.4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3060.7</v>
      </c>
      <c r="AG98" s="27">
        <f>B98+C98-AF98</f>
        <v>1134.5</v>
      </c>
    </row>
    <row r="99" spans="1:33" ht="15.75">
      <c r="A99" s="3" t="s">
        <v>16</v>
      </c>
      <c r="B99" s="22">
        <f aca="true" t="shared" si="23" ref="B99:X99">B21+B30+B49+B37+B58+B13+B75+B67</f>
        <v>2231.8</v>
      </c>
      <c r="C99" s="22">
        <f t="shared" si="23"/>
        <v>889.6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6.199999999999999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878.2</v>
      </c>
      <c r="T99" s="22">
        <f t="shared" si="23"/>
        <v>102.4</v>
      </c>
      <c r="U99" s="22">
        <f t="shared" si="23"/>
        <v>286.1</v>
      </c>
      <c r="V99" s="22">
        <f t="shared" si="23"/>
        <v>207.8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1940.0000000000002</v>
      </c>
      <c r="AG99" s="27">
        <f>B99+C99-AF99</f>
        <v>1181.3999999999999</v>
      </c>
    </row>
    <row r="100" spans="1:33" ht="12.75">
      <c r="A100" s="1" t="s">
        <v>35</v>
      </c>
      <c r="B100" s="2">
        <f aca="true" t="shared" si="25" ref="B100:AD100">B94-B95-B96-B97-B98-B99</f>
        <v>65294.79999999999</v>
      </c>
      <c r="C100" s="2">
        <f t="shared" si="25"/>
        <v>17182.40000000001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4465.8</v>
      </c>
      <c r="P100" s="2">
        <f t="shared" si="25"/>
        <v>242.89999999999995</v>
      </c>
      <c r="Q100" s="2">
        <f t="shared" si="25"/>
        <v>4419.6</v>
      </c>
      <c r="R100" s="2">
        <f t="shared" si="25"/>
        <v>2635.599999999999</v>
      </c>
      <c r="S100" s="2">
        <f t="shared" si="25"/>
        <v>679.0000000000005</v>
      </c>
      <c r="T100" s="2">
        <f t="shared" si="25"/>
        <v>1528.2000000000003</v>
      </c>
      <c r="U100" s="2">
        <f t="shared" si="25"/>
        <v>18446.9</v>
      </c>
      <c r="V100" s="2">
        <f t="shared" si="25"/>
        <v>237.20000000000073</v>
      </c>
      <c r="W100" s="2">
        <f t="shared" si="25"/>
        <v>9844.2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60808.000000000015</v>
      </c>
      <c r="AG100" s="2">
        <f>AG94-AG95-AG96-AG97-AG98-AG99</f>
        <v>21669.199999999997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52" sqref="C5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55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56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9</v>
      </c>
      <c r="J4" s="19">
        <v>10</v>
      </c>
      <c r="K4" s="8">
        <v>13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38611.6</v>
      </c>
      <c r="C7" s="72">
        <v>13493.9</v>
      </c>
      <c r="D7" s="45"/>
      <c r="E7" s="46">
        <v>19296.8</v>
      </c>
      <c r="F7" s="46"/>
      <c r="G7" s="46"/>
      <c r="H7" s="74"/>
      <c r="I7" s="46"/>
      <c r="J7" s="47"/>
      <c r="K7" s="46"/>
      <c r="L7" s="46">
        <v>19314.8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14988.6</v>
      </c>
      <c r="AF7" s="72"/>
      <c r="AG7" s="48"/>
    </row>
    <row r="8" spans="1:55" ht="18" customHeight="1">
      <c r="A8" s="60" t="s">
        <v>30</v>
      </c>
      <c r="B8" s="40">
        <f>SUM(D8:AB8)</f>
        <v>111123.1</v>
      </c>
      <c r="C8" s="40">
        <v>66186.9</v>
      </c>
      <c r="D8" s="43">
        <v>11703.5</v>
      </c>
      <c r="E8" s="55">
        <v>4743.5</v>
      </c>
      <c r="F8" s="55">
        <v>4152.9</v>
      </c>
      <c r="G8" s="55">
        <v>3141.7</v>
      </c>
      <c r="H8" s="55">
        <v>4691.3</v>
      </c>
      <c r="I8" s="55">
        <v>9642.4</v>
      </c>
      <c r="J8" s="56">
        <v>1555.6</v>
      </c>
      <c r="K8" s="55">
        <v>2155.3</v>
      </c>
      <c r="L8" s="55">
        <v>1463</v>
      </c>
      <c r="M8" s="55">
        <v>2587</v>
      </c>
      <c r="N8" s="55">
        <v>14652.3</v>
      </c>
      <c r="O8" s="55">
        <v>4014.4</v>
      </c>
      <c r="P8" s="55">
        <v>3476.7</v>
      </c>
      <c r="Q8" s="55">
        <v>4412.3</v>
      </c>
      <c r="R8" s="55">
        <v>3651.5</v>
      </c>
      <c r="S8" s="57">
        <v>4811.2</v>
      </c>
      <c r="T8" s="57">
        <v>2423.5</v>
      </c>
      <c r="U8" s="55">
        <v>1912.7</v>
      </c>
      <c r="V8" s="55">
        <v>2119.1</v>
      </c>
      <c r="W8" s="55">
        <v>3870.2</v>
      </c>
      <c r="X8" s="56">
        <v>8830.3</v>
      </c>
      <c r="Y8" s="56">
        <v>11112.7</v>
      </c>
      <c r="Z8" s="56"/>
      <c r="AA8" s="56"/>
      <c r="AB8" s="55"/>
      <c r="AC8" s="23"/>
      <c r="AD8" s="23"/>
      <c r="AE8" s="61">
        <v>62407.4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159331.9</v>
      </c>
      <c r="C9" s="24">
        <f t="shared" si="0"/>
        <v>60274.10000000001</v>
      </c>
      <c r="D9" s="24">
        <f t="shared" si="0"/>
        <v>7.9</v>
      </c>
      <c r="E9" s="24">
        <f t="shared" si="0"/>
        <v>4681.9</v>
      </c>
      <c r="F9" s="24">
        <f t="shared" si="0"/>
        <v>4364.7</v>
      </c>
      <c r="G9" s="24">
        <f t="shared" si="0"/>
        <v>4086.2000000000003</v>
      </c>
      <c r="H9" s="24">
        <f t="shared" si="0"/>
        <v>1900.5</v>
      </c>
      <c r="I9" s="24">
        <f t="shared" si="0"/>
        <v>7163.9</v>
      </c>
      <c r="J9" s="24">
        <f t="shared" si="0"/>
        <v>1309.1</v>
      </c>
      <c r="K9" s="24">
        <f t="shared" si="0"/>
        <v>32305.800000000003</v>
      </c>
      <c r="L9" s="24">
        <f t="shared" si="0"/>
        <v>4315.799999999999</v>
      </c>
      <c r="M9" s="24">
        <f t="shared" si="0"/>
        <v>515.5</v>
      </c>
      <c r="N9" s="24">
        <f t="shared" si="0"/>
        <v>1393.7000000000003</v>
      </c>
      <c r="O9" s="24">
        <f t="shared" si="0"/>
        <v>4014.6</v>
      </c>
      <c r="P9" s="24">
        <f t="shared" si="0"/>
        <v>7974.9</v>
      </c>
      <c r="Q9" s="24">
        <f t="shared" si="0"/>
        <v>2982.8999999999996</v>
      </c>
      <c r="R9" s="24">
        <f t="shared" si="0"/>
        <v>2806.4</v>
      </c>
      <c r="S9" s="24">
        <f t="shared" si="0"/>
        <v>4867.4</v>
      </c>
      <c r="T9" s="24">
        <f t="shared" si="0"/>
        <v>4665.400000000001</v>
      </c>
      <c r="U9" s="24">
        <f t="shared" si="0"/>
        <v>38745.99999999999</v>
      </c>
      <c r="V9" s="24">
        <f t="shared" si="0"/>
        <v>8953.099999999999</v>
      </c>
      <c r="W9" s="24">
        <f t="shared" si="0"/>
        <v>3872</v>
      </c>
      <c r="X9" s="24">
        <f t="shared" si="0"/>
        <v>8866.8</v>
      </c>
      <c r="Y9" s="24">
        <f t="shared" si="0"/>
        <v>2202.6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151997.1</v>
      </c>
      <c r="AG9" s="50">
        <f>AG10+AG15+AG24+AG33+AG47+AG52+AG54+AG61+AG62+AG71+AG72+AG76+AG88+AG81+AG83+AG82+AG69+AG89+AG91+AG90+AG70+AG40+AG92</f>
        <v>67608.89999999998</v>
      </c>
      <c r="AH9" s="49"/>
      <c r="AI9" s="49"/>
    </row>
    <row r="10" spans="1:33" ht="15.75">
      <c r="A10" s="4" t="s">
        <v>4</v>
      </c>
      <c r="B10" s="22">
        <v>14248.6</v>
      </c>
      <c r="C10" s="22">
        <v>14423.7</v>
      </c>
      <c r="D10" s="22"/>
      <c r="E10" s="22">
        <v>25.9</v>
      </c>
      <c r="F10" s="22">
        <v>120.2</v>
      </c>
      <c r="G10" s="22">
        <v>243.3</v>
      </c>
      <c r="H10" s="22">
        <v>17.1</v>
      </c>
      <c r="I10" s="22">
        <v>315.3</v>
      </c>
      <c r="J10" s="25"/>
      <c r="K10" s="22">
        <f>36.8+628.4</f>
        <v>665.1999999999999</v>
      </c>
      <c r="L10" s="22">
        <v>1876.2</v>
      </c>
      <c r="M10" s="22">
        <v>71.1</v>
      </c>
      <c r="N10" s="22">
        <v>29.7</v>
      </c>
      <c r="O10" s="27">
        <v>42.5</v>
      </c>
      <c r="P10" s="22">
        <v>5.2</v>
      </c>
      <c r="Q10" s="22">
        <v>78</v>
      </c>
      <c r="R10" s="22">
        <v>29.4</v>
      </c>
      <c r="S10" s="26">
        <v>120.4</v>
      </c>
      <c r="T10" s="26">
        <v>583.5</v>
      </c>
      <c r="U10" s="26">
        <v>424.3</v>
      </c>
      <c r="V10" s="26">
        <v>1056.1</v>
      </c>
      <c r="W10" s="26">
        <v>1600.5</v>
      </c>
      <c r="X10" s="22">
        <v>1348.3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8652.199999999999</v>
      </c>
      <c r="AG10" s="27">
        <f>B10+C10-AF10</f>
        <v>20020.100000000006</v>
      </c>
    </row>
    <row r="11" spans="1:33" ht="15.75">
      <c r="A11" s="3" t="s">
        <v>5</v>
      </c>
      <c r="B11" s="22">
        <f>12941-12.7-2.2-0.9</f>
        <v>12925.199999999999</v>
      </c>
      <c r="C11" s="22">
        <v>12872.5</v>
      </c>
      <c r="D11" s="22"/>
      <c r="E11" s="22">
        <v>5.7</v>
      </c>
      <c r="F11" s="22">
        <v>23.4</v>
      </c>
      <c r="G11" s="22">
        <v>14.2</v>
      </c>
      <c r="H11" s="22"/>
      <c r="I11" s="22">
        <v>309.4</v>
      </c>
      <c r="J11" s="26"/>
      <c r="K11" s="22">
        <v>627.8</v>
      </c>
      <c r="L11" s="22">
        <v>1876.2</v>
      </c>
      <c r="M11" s="22">
        <v>1.4</v>
      </c>
      <c r="N11" s="22"/>
      <c r="O11" s="27">
        <v>2.8</v>
      </c>
      <c r="P11" s="22"/>
      <c r="Q11" s="22">
        <v>20.2</v>
      </c>
      <c r="R11" s="22"/>
      <c r="S11" s="26"/>
      <c r="T11" s="26"/>
      <c r="U11" s="26">
        <v>321.2</v>
      </c>
      <c r="V11" s="26">
        <v>999.1</v>
      </c>
      <c r="W11" s="26">
        <v>1596.9</v>
      </c>
      <c r="X11" s="22">
        <v>1340.8</v>
      </c>
      <c r="Y11" s="26"/>
      <c r="Z11" s="26"/>
      <c r="AA11" s="26"/>
      <c r="AB11" s="22"/>
      <c r="AC11" s="22"/>
      <c r="AD11" s="22"/>
      <c r="AE11" s="22"/>
      <c r="AF11" s="22">
        <f t="shared" si="1"/>
        <v>7139.099999999999</v>
      </c>
      <c r="AG11" s="27">
        <f>B11+C11-AF11</f>
        <v>18658.6</v>
      </c>
    </row>
    <row r="12" spans="1:33" ht="15.75">
      <c r="A12" s="3" t="s">
        <v>2</v>
      </c>
      <c r="B12" s="36">
        <v>405.6</v>
      </c>
      <c r="C12" s="22">
        <v>729</v>
      </c>
      <c r="D12" s="22"/>
      <c r="E12" s="22"/>
      <c r="F12" s="22">
        <v>67.3</v>
      </c>
      <c r="G12" s="22">
        <v>62.7</v>
      </c>
      <c r="H12" s="22"/>
      <c r="I12" s="22"/>
      <c r="J12" s="26"/>
      <c r="K12" s="22"/>
      <c r="L12" s="22"/>
      <c r="M12" s="22">
        <v>3.5</v>
      </c>
      <c r="N12" s="22">
        <v>1.4</v>
      </c>
      <c r="O12" s="27"/>
      <c r="P12" s="22"/>
      <c r="Q12" s="22">
        <v>40.6</v>
      </c>
      <c r="R12" s="22"/>
      <c r="S12" s="26">
        <v>112.7</v>
      </c>
      <c r="T12" s="26">
        <v>571.4</v>
      </c>
      <c r="U12" s="26">
        <v>55.5</v>
      </c>
      <c r="V12" s="26"/>
      <c r="W12" s="26">
        <v>1.7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916.8</v>
      </c>
      <c r="AG12" s="27">
        <f>B12+C12-AF12</f>
        <v>217.79999999999995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917.8000000000014</v>
      </c>
      <c r="C14" s="22">
        <f t="shared" si="2"/>
        <v>822.2000000000007</v>
      </c>
      <c r="D14" s="22">
        <f t="shared" si="2"/>
        <v>0</v>
      </c>
      <c r="E14" s="22">
        <f t="shared" si="2"/>
        <v>20.2</v>
      </c>
      <c r="F14" s="22">
        <f t="shared" si="2"/>
        <v>29.500000000000014</v>
      </c>
      <c r="G14" s="22">
        <f t="shared" si="2"/>
        <v>166.40000000000003</v>
      </c>
      <c r="H14" s="22">
        <f t="shared" si="2"/>
        <v>17.1</v>
      </c>
      <c r="I14" s="22">
        <f t="shared" si="2"/>
        <v>5.900000000000034</v>
      </c>
      <c r="J14" s="22">
        <f t="shared" si="2"/>
        <v>0</v>
      </c>
      <c r="K14" s="22">
        <f t="shared" si="2"/>
        <v>37.39999999999998</v>
      </c>
      <c r="L14" s="22">
        <f t="shared" si="2"/>
        <v>0</v>
      </c>
      <c r="M14" s="22">
        <f t="shared" si="2"/>
        <v>66.19999999999999</v>
      </c>
      <c r="N14" s="22">
        <f t="shared" si="2"/>
        <v>28.3</v>
      </c>
      <c r="O14" s="22">
        <f t="shared" si="2"/>
        <v>39.7</v>
      </c>
      <c r="P14" s="22">
        <f t="shared" si="2"/>
        <v>5.2</v>
      </c>
      <c r="Q14" s="22">
        <f t="shared" si="2"/>
        <v>17.199999999999996</v>
      </c>
      <c r="R14" s="22">
        <f t="shared" si="2"/>
        <v>29.4</v>
      </c>
      <c r="S14" s="22">
        <f t="shared" si="2"/>
        <v>7.700000000000003</v>
      </c>
      <c r="T14" s="22">
        <f t="shared" si="2"/>
        <v>12.100000000000023</v>
      </c>
      <c r="U14" s="22">
        <f t="shared" si="2"/>
        <v>47.60000000000002</v>
      </c>
      <c r="V14" s="22">
        <f t="shared" si="2"/>
        <v>56.999999999999886</v>
      </c>
      <c r="W14" s="22">
        <f t="shared" si="2"/>
        <v>1.899999999999909</v>
      </c>
      <c r="X14" s="22">
        <f t="shared" si="2"/>
        <v>7.5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596.2999999999998</v>
      </c>
      <c r="AG14" s="27">
        <f>AG10-AG11-AG12-AG13</f>
        <v>1143.7000000000073</v>
      </c>
    </row>
    <row r="15" spans="1:33" ht="15" customHeight="1">
      <c r="A15" s="4" t="s">
        <v>6</v>
      </c>
      <c r="B15" s="22">
        <f>54365.5-207.4+0.3</f>
        <v>54158.4</v>
      </c>
      <c r="C15" s="22">
        <v>22420.4</v>
      </c>
      <c r="D15" s="44"/>
      <c r="E15" s="44"/>
      <c r="F15" s="22">
        <v>3404.9</v>
      </c>
      <c r="G15" s="22">
        <v>3295.8</v>
      </c>
      <c r="H15" s="22">
        <v>35.7</v>
      </c>
      <c r="I15" s="22">
        <v>414.5</v>
      </c>
      <c r="J15" s="26"/>
      <c r="K15" s="22">
        <f>81.3+17239.9</f>
        <v>17321.2</v>
      </c>
      <c r="L15" s="22"/>
      <c r="M15" s="22">
        <v>49.6</v>
      </c>
      <c r="N15" s="22">
        <v>892.3</v>
      </c>
      <c r="O15" s="27">
        <v>881.9</v>
      </c>
      <c r="P15" s="22">
        <v>3049.4</v>
      </c>
      <c r="Q15" s="27">
        <v>879.6</v>
      </c>
      <c r="R15" s="22">
        <v>2137.7</v>
      </c>
      <c r="S15" s="26">
        <v>1.1</v>
      </c>
      <c r="T15" s="26">
        <v>113.2</v>
      </c>
      <c r="U15" s="26">
        <v>23136.9</v>
      </c>
      <c r="V15" s="26">
        <v>2610.9</v>
      </c>
      <c r="W15" s="26">
        <v>142.4</v>
      </c>
      <c r="X15" s="22">
        <v>2.7</v>
      </c>
      <c r="Y15" s="26"/>
      <c r="Z15" s="26"/>
      <c r="AA15" s="26"/>
      <c r="AB15" s="22"/>
      <c r="AC15" s="22"/>
      <c r="AD15" s="22"/>
      <c r="AE15" s="22"/>
      <c r="AF15" s="27">
        <f t="shared" si="1"/>
        <v>58369.8</v>
      </c>
      <c r="AG15" s="27">
        <f aca="true" t="shared" si="3" ref="AG15:AG31">B15+C15-AF15</f>
        <v>18209</v>
      </c>
    </row>
    <row r="16" spans="1:34" s="70" customFormat="1" ht="15" customHeight="1">
      <c r="A16" s="65" t="s">
        <v>38</v>
      </c>
      <c r="B16" s="66">
        <v>18736.9</v>
      </c>
      <c r="C16" s="66">
        <v>1617.3</v>
      </c>
      <c r="D16" s="67"/>
      <c r="E16" s="67"/>
      <c r="F16" s="66">
        <v>0.8</v>
      </c>
      <c r="G16" s="66"/>
      <c r="H16" s="66"/>
      <c r="I16" s="66"/>
      <c r="J16" s="68"/>
      <c r="K16" s="66">
        <v>7352</v>
      </c>
      <c r="L16" s="66"/>
      <c r="M16" s="66">
        <v>6.6</v>
      </c>
      <c r="N16" s="66"/>
      <c r="O16" s="69"/>
      <c r="P16" s="66"/>
      <c r="Q16" s="69"/>
      <c r="R16" s="66"/>
      <c r="S16" s="68"/>
      <c r="T16" s="68"/>
      <c r="U16" s="68">
        <v>10108.4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17467.8</v>
      </c>
      <c r="AG16" s="71">
        <f t="shared" si="3"/>
        <v>2886.4000000000015</v>
      </c>
      <c r="AH16" s="75"/>
    </row>
    <row r="17" spans="1:34" ht="15.75">
      <c r="A17" s="3" t="s">
        <v>5</v>
      </c>
      <c r="B17" s="22">
        <f>35714.6+461.1-207.4</f>
        <v>35968.299999999996</v>
      </c>
      <c r="C17" s="22">
        <v>4446.4</v>
      </c>
      <c r="D17" s="22"/>
      <c r="E17" s="22"/>
      <c r="F17" s="22">
        <v>3.4</v>
      </c>
      <c r="G17" s="22"/>
      <c r="H17" s="22">
        <v>7.6</v>
      </c>
      <c r="I17" s="22"/>
      <c r="J17" s="26"/>
      <c r="K17" s="22">
        <v>13882.5</v>
      </c>
      <c r="L17" s="22"/>
      <c r="M17" s="22">
        <v>6.6</v>
      </c>
      <c r="N17" s="22">
        <v>747.5</v>
      </c>
      <c r="O17" s="27"/>
      <c r="P17" s="22"/>
      <c r="Q17" s="27"/>
      <c r="R17" s="22"/>
      <c r="S17" s="26"/>
      <c r="T17" s="26"/>
      <c r="U17" s="26">
        <v>21101.8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35749.4</v>
      </c>
      <c r="AG17" s="27">
        <f t="shared" si="3"/>
        <v>4665.299999999996</v>
      </c>
      <c r="AH17" s="6"/>
    </row>
    <row r="18" spans="1:33" ht="15.75">
      <c r="A18" s="3" t="s">
        <v>3</v>
      </c>
      <c r="B18" s="22">
        <v>18.4</v>
      </c>
      <c r="C18" s="22">
        <v>5.5</v>
      </c>
      <c r="D18" s="22"/>
      <c r="E18" s="22"/>
      <c r="F18" s="22"/>
      <c r="G18" s="22"/>
      <c r="H18" s="22"/>
      <c r="I18" s="22"/>
      <c r="J18" s="26"/>
      <c r="K18" s="22">
        <v>2.5</v>
      </c>
      <c r="L18" s="22"/>
      <c r="M18" s="22"/>
      <c r="N18" s="22">
        <v>4.3</v>
      </c>
      <c r="O18" s="27">
        <v>3.3</v>
      </c>
      <c r="P18" s="22"/>
      <c r="Q18" s="27"/>
      <c r="R18" s="22"/>
      <c r="S18" s="26"/>
      <c r="T18" s="26"/>
      <c r="U18" s="26">
        <v>7</v>
      </c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17.1</v>
      </c>
      <c r="AG18" s="27">
        <f t="shared" si="3"/>
        <v>6.799999999999997</v>
      </c>
    </row>
    <row r="19" spans="1:33" ht="15.75">
      <c r="A19" s="3" t="s">
        <v>1</v>
      </c>
      <c r="B19" s="22">
        <v>3299.6</v>
      </c>
      <c r="C19" s="22">
        <v>1039.3</v>
      </c>
      <c r="D19" s="22"/>
      <c r="E19" s="22"/>
      <c r="F19" s="22">
        <v>310.6</v>
      </c>
      <c r="G19" s="22">
        <v>696.5</v>
      </c>
      <c r="H19" s="22">
        <v>21.5</v>
      </c>
      <c r="I19" s="22">
        <v>413.5</v>
      </c>
      <c r="J19" s="26"/>
      <c r="K19" s="22">
        <f>3.1+202.3</f>
        <v>205.4</v>
      </c>
      <c r="L19" s="22"/>
      <c r="M19" s="22">
        <v>11.4</v>
      </c>
      <c r="N19" s="22">
        <v>138.6</v>
      </c>
      <c r="O19" s="27"/>
      <c r="P19" s="22">
        <v>464</v>
      </c>
      <c r="Q19" s="27"/>
      <c r="R19" s="22">
        <v>46.3</v>
      </c>
      <c r="S19" s="26"/>
      <c r="T19" s="26">
        <v>91.5</v>
      </c>
      <c r="U19" s="26">
        <v>423.6</v>
      </c>
      <c r="V19" s="26">
        <v>320.5</v>
      </c>
      <c r="W19" s="26">
        <v>131.4</v>
      </c>
      <c r="X19" s="22">
        <v>1.4</v>
      </c>
      <c r="Y19" s="26"/>
      <c r="Z19" s="26"/>
      <c r="AA19" s="26"/>
      <c r="AB19" s="22"/>
      <c r="AC19" s="22"/>
      <c r="AD19" s="22"/>
      <c r="AE19" s="22"/>
      <c r="AF19" s="27">
        <f t="shared" si="1"/>
        <v>3276.2000000000003</v>
      </c>
      <c r="AG19" s="27">
        <f t="shared" si="3"/>
        <v>1062.6999999999994</v>
      </c>
    </row>
    <row r="20" spans="1:33" ht="15.75">
      <c r="A20" s="3" t="s">
        <v>2</v>
      </c>
      <c r="B20" s="22">
        <f>12882.1-506.5</f>
        <v>12375.6</v>
      </c>
      <c r="C20" s="22">
        <v>15491.1</v>
      </c>
      <c r="D20" s="22"/>
      <c r="E20" s="22"/>
      <c r="F20" s="22">
        <v>3059.4</v>
      </c>
      <c r="G20" s="22">
        <v>2301.7</v>
      </c>
      <c r="H20" s="22"/>
      <c r="I20" s="22"/>
      <c r="J20" s="26"/>
      <c r="K20" s="22">
        <f>17.6+3131.6</f>
        <v>3149.2</v>
      </c>
      <c r="L20" s="22"/>
      <c r="M20" s="22"/>
      <c r="N20" s="22"/>
      <c r="O20" s="27">
        <v>438.7</v>
      </c>
      <c r="P20" s="22">
        <v>2370.2</v>
      </c>
      <c r="Q20" s="27">
        <v>711.7</v>
      </c>
      <c r="R20" s="22">
        <v>2057.8</v>
      </c>
      <c r="S20" s="26"/>
      <c r="T20" s="26"/>
      <c r="U20" s="26">
        <v>893.1</v>
      </c>
      <c r="V20" s="26">
        <v>2232.6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17214.4</v>
      </c>
      <c r="AG20" s="27">
        <f t="shared" si="3"/>
        <v>10652.3</v>
      </c>
    </row>
    <row r="21" spans="1:33" ht="15.75">
      <c r="A21" s="3" t="s">
        <v>16</v>
      </c>
      <c r="B21" s="22">
        <v>1140.1</v>
      </c>
      <c r="C21" s="22">
        <v>269.4</v>
      </c>
      <c r="D21" s="22"/>
      <c r="E21" s="22"/>
      <c r="F21" s="22"/>
      <c r="G21" s="22">
        <v>1.2</v>
      </c>
      <c r="H21" s="22"/>
      <c r="I21" s="22"/>
      <c r="J21" s="26"/>
      <c r="K21" s="22">
        <v>2.8</v>
      </c>
      <c r="L21" s="22"/>
      <c r="M21" s="22">
        <v>9</v>
      </c>
      <c r="N21" s="22"/>
      <c r="O21" s="27">
        <v>434.7</v>
      </c>
      <c r="P21" s="22"/>
      <c r="Q21" s="27">
        <v>164.8</v>
      </c>
      <c r="R21" s="22"/>
      <c r="S21" s="26"/>
      <c r="T21" s="26"/>
      <c r="U21" s="22">
        <v>490.2</v>
      </c>
      <c r="V21" s="22">
        <v>0.8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1103.5</v>
      </c>
      <c r="AG21" s="27">
        <f t="shared" si="3"/>
        <v>306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1356.4000000000037</v>
      </c>
      <c r="C23" s="22">
        <f t="shared" si="4"/>
        <v>1168.7000000000003</v>
      </c>
      <c r="D23" s="22">
        <f t="shared" si="4"/>
        <v>0</v>
      </c>
      <c r="E23" s="22">
        <f t="shared" si="4"/>
        <v>0</v>
      </c>
      <c r="F23" s="22">
        <f t="shared" si="4"/>
        <v>31.5</v>
      </c>
      <c r="G23" s="22">
        <f t="shared" si="4"/>
        <v>296.4000000000004</v>
      </c>
      <c r="H23" s="22">
        <f t="shared" si="4"/>
        <v>6.600000000000001</v>
      </c>
      <c r="I23" s="22">
        <f t="shared" si="4"/>
        <v>1</v>
      </c>
      <c r="J23" s="22">
        <f t="shared" si="4"/>
        <v>0</v>
      </c>
      <c r="K23" s="22">
        <f t="shared" si="4"/>
        <v>78.80000000000082</v>
      </c>
      <c r="L23" s="22">
        <f t="shared" si="4"/>
        <v>0</v>
      </c>
      <c r="M23" s="22">
        <f t="shared" si="4"/>
        <v>22.6</v>
      </c>
      <c r="N23" s="22">
        <f t="shared" si="4"/>
        <v>1.8999999999999488</v>
      </c>
      <c r="O23" s="22">
        <f t="shared" si="4"/>
        <v>5.2000000000000455</v>
      </c>
      <c r="P23" s="22">
        <f t="shared" si="4"/>
        <v>215.20000000000027</v>
      </c>
      <c r="Q23" s="22">
        <f t="shared" si="4"/>
        <v>3.099999999999966</v>
      </c>
      <c r="R23" s="22">
        <f t="shared" si="4"/>
        <v>33.599999999999454</v>
      </c>
      <c r="S23" s="22">
        <f t="shared" si="4"/>
        <v>1.1</v>
      </c>
      <c r="T23" s="22">
        <f t="shared" si="4"/>
        <v>21.700000000000003</v>
      </c>
      <c r="U23" s="22">
        <f t="shared" si="4"/>
        <v>221.20000000000226</v>
      </c>
      <c r="V23" s="22">
        <f t="shared" si="4"/>
        <v>57.000000000000185</v>
      </c>
      <c r="W23" s="22">
        <f t="shared" si="4"/>
        <v>11</v>
      </c>
      <c r="X23" s="22">
        <f t="shared" si="4"/>
        <v>1.3000000000000003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1009.2000000000035</v>
      </c>
      <c r="AG23" s="27">
        <f t="shared" si="3"/>
        <v>1515.9000000000005</v>
      </c>
    </row>
    <row r="24" spans="1:33" ht="15" customHeight="1">
      <c r="A24" s="4" t="s">
        <v>7</v>
      </c>
      <c r="B24" s="22">
        <f>33078.7+2377.2</f>
        <v>35455.899999999994</v>
      </c>
      <c r="C24" s="22">
        <v>9096.9</v>
      </c>
      <c r="D24" s="22"/>
      <c r="E24" s="22"/>
      <c r="F24" s="22">
        <v>533.8</v>
      </c>
      <c r="G24" s="22">
        <v>30.7</v>
      </c>
      <c r="H24" s="22"/>
      <c r="I24" s="22"/>
      <c r="J24" s="26">
        <v>490.1</v>
      </c>
      <c r="K24" s="22">
        <f>119.4+11796.1</f>
        <v>11915.5</v>
      </c>
      <c r="L24" s="22"/>
      <c r="M24" s="22"/>
      <c r="N24" s="22"/>
      <c r="O24" s="27"/>
      <c r="P24" s="22">
        <v>3423.1</v>
      </c>
      <c r="Q24" s="27">
        <v>24.3</v>
      </c>
      <c r="R24" s="27">
        <v>167.7</v>
      </c>
      <c r="S24" s="26"/>
      <c r="T24" s="26">
        <v>3429.8</v>
      </c>
      <c r="U24" s="26">
        <v>14147.8</v>
      </c>
      <c r="V24" s="26">
        <v>57.6</v>
      </c>
      <c r="W24" s="26">
        <v>1.8</v>
      </c>
      <c r="X24" s="22">
        <v>36.5</v>
      </c>
      <c r="Y24" s="26"/>
      <c r="Z24" s="26"/>
      <c r="AA24" s="26"/>
      <c r="AB24" s="22"/>
      <c r="AC24" s="22"/>
      <c r="AD24" s="22"/>
      <c r="AE24" s="22"/>
      <c r="AF24" s="27">
        <f t="shared" si="1"/>
        <v>34258.700000000004</v>
      </c>
      <c r="AG24" s="27">
        <f t="shared" si="3"/>
        <v>10294.099999999991</v>
      </c>
    </row>
    <row r="25" spans="1:34" s="70" customFormat="1" ht="15" customHeight="1">
      <c r="A25" s="65" t="s">
        <v>39</v>
      </c>
      <c r="B25" s="66">
        <f>19856.7+1256.1</f>
        <v>21112.8</v>
      </c>
      <c r="C25" s="66">
        <v>4800.6</v>
      </c>
      <c r="D25" s="66"/>
      <c r="E25" s="66"/>
      <c r="F25" s="66">
        <v>353.7</v>
      </c>
      <c r="G25" s="66">
        <v>16.6</v>
      </c>
      <c r="H25" s="66"/>
      <c r="I25" s="66"/>
      <c r="J25" s="68">
        <v>490.1</v>
      </c>
      <c r="K25" s="66">
        <v>8886.5</v>
      </c>
      <c r="L25" s="66"/>
      <c r="M25" s="66"/>
      <c r="N25" s="66"/>
      <c r="O25" s="69"/>
      <c r="P25" s="66">
        <v>888</v>
      </c>
      <c r="Q25" s="69"/>
      <c r="R25" s="69">
        <v>91.8</v>
      </c>
      <c r="S25" s="68"/>
      <c r="T25" s="68">
        <v>1141.4</v>
      </c>
      <c r="U25" s="68">
        <v>7667.3</v>
      </c>
      <c r="V25" s="68">
        <v>57.6</v>
      </c>
      <c r="W25" s="68">
        <v>1.8</v>
      </c>
      <c r="X25" s="66">
        <v>36.5</v>
      </c>
      <c r="Y25" s="68"/>
      <c r="Z25" s="68"/>
      <c r="AA25" s="68"/>
      <c r="AB25" s="66"/>
      <c r="AC25" s="66"/>
      <c r="AD25" s="66"/>
      <c r="AE25" s="66"/>
      <c r="AF25" s="71">
        <f t="shared" si="1"/>
        <v>19631.299999999996</v>
      </c>
      <c r="AG25" s="71">
        <f t="shared" si="3"/>
        <v>6282.100000000006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35455.899999999994</v>
      </c>
      <c r="C32" s="22">
        <f t="shared" si="5"/>
        <v>9096.9</v>
      </c>
      <c r="D32" s="22">
        <f t="shared" si="5"/>
        <v>0</v>
      </c>
      <c r="E32" s="22">
        <f t="shared" si="5"/>
        <v>0</v>
      </c>
      <c r="F32" s="22">
        <f t="shared" si="5"/>
        <v>533.8</v>
      </c>
      <c r="G32" s="22">
        <f t="shared" si="5"/>
        <v>30.7</v>
      </c>
      <c r="H32" s="22">
        <f t="shared" si="5"/>
        <v>0</v>
      </c>
      <c r="I32" s="22">
        <f t="shared" si="5"/>
        <v>0</v>
      </c>
      <c r="J32" s="22">
        <f t="shared" si="5"/>
        <v>490.1</v>
      </c>
      <c r="K32" s="22">
        <f t="shared" si="5"/>
        <v>11915.5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3423.1</v>
      </c>
      <c r="Q32" s="22">
        <f t="shared" si="5"/>
        <v>24.3</v>
      </c>
      <c r="R32" s="22">
        <f t="shared" si="5"/>
        <v>167.7</v>
      </c>
      <c r="S32" s="22">
        <f t="shared" si="5"/>
        <v>0</v>
      </c>
      <c r="T32" s="22">
        <f t="shared" si="5"/>
        <v>3429.8</v>
      </c>
      <c r="U32" s="22">
        <f t="shared" si="5"/>
        <v>14147.8</v>
      </c>
      <c r="V32" s="22">
        <f t="shared" si="5"/>
        <v>57.6</v>
      </c>
      <c r="W32" s="22">
        <f t="shared" si="5"/>
        <v>1.8</v>
      </c>
      <c r="X32" s="22">
        <f t="shared" si="5"/>
        <v>36.5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34258.700000000004</v>
      </c>
      <c r="AG32" s="27">
        <f>AG24</f>
        <v>10294.099999999991</v>
      </c>
    </row>
    <row r="33" spans="1:33" ht="15" customHeight="1">
      <c r="A33" s="4" t="s">
        <v>8</v>
      </c>
      <c r="B33" s="22">
        <v>313.6</v>
      </c>
      <c r="C33" s="22">
        <v>433.5</v>
      </c>
      <c r="D33" s="22"/>
      <c r="E33" s="22">
        <v>18.6</v>
      </c>
      <c r="F33" s="22"/>
      <c r="G33" s="22"/>
      <c r="H33" s="22"/>
      <c r="I33" s="22">
        <v>1.9</v>
      </c>
      <c r="J33" s="26"/>
      <c r="K33" s="22"/>
      <c r="L33" s="22">
        <v>67.3</v>
      </c>
      <c r="M33" s="22">
        <v>0.4</v>
      </c>
      <c r="N33" s="22"/>
      <c r="O33" s="27"/>
      <c r="P33" s="22">
        <v>57.5</v>
      </c>
      <c r="Q33" s="27"/>
      <c r="R33" s="22">
        <v>0.6</v>
      </c>
      <c r="S33" s="26"/>
      <c r="T33" s="26"/>
      <c r="U33" s="26"/>
      <c r="V33" s="26">
        <v>144.6</v>
      </c>
      <c r="W33" s="26"/>
      <c r="X33" s="26"/>
      <c r="Y33" s="26">
        <v>-4.5</v>
      </c>
      <c r="Z33" s="26"/>
      <c r="AA33" s="26"/>
      <c r="AB33" s="22"/>
      <c r="AC33" s="22"/>
      <c r="AD33" s="22"/>
      <c r="AE33" s="22"/>
      <c r="AF33" s="27">
        <f t="shared" si="1"/>
        <v>286.4</v>
      </c>
      <c r="AG33" s="27">
        <f aca="true" t="shared" si="6" ref="AG33:AG38">B33+C33-AF33</f>
        <v>460.70000000000005</v>
      </c>
    </row>
    <row r="34" spans="1:33" ht="15.75">
      <c r="A34" s="3" t="s">
        <v>5</v>
      </c>
      <c r="B34" s="22">
        <v>237.7</v>
      </c>
      <c r="C34" s="22">
        <v>75.3</v>
      </c>
      <c r="D34" s="22"/>
      <c r="E34" s="22"/>
      <c r="F34" s="22"/>
      <c r="G34" s="22"/>
      <c r="H34" s="22"/>
      <c r="I34" s="22"/>
      <c r="J34" s="26"/>
      <c r="K34" s="22"/>
      <c r="L34" s="22">
        <v>67.3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144.6</v>
      </c>
      <c r="W34" s="26"/>
      <c r="X34" s="26"/>
      <c r="Y34" s="26">
        <v>-4.5</v>
      </c>
      <c r="Z34" s="26"/>
      <c r="AA34" s="26"/>
      <c r="AB34" s="22"/>
      <c r="AC34" s="22"/>
      <c r="AD34" s="22"/>
      <c r="AE34" s="22"/>
      <c r="AF34" s="27">
        <f t="shared" si="1"/>
        <v>207.39999999999998</v>
      </c>
      <c r="AG34" s="27">
        <f t="shared" si="6"/>
        <v>105.60000000000002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67</v>
      </c>
      <c r="C36" s="22">
        <v>153.6</v>
      </c>
      <c r="D36" s="22"/>
      <c r="E36" s="22">
        <v>18.6</v>
      </c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55.1</v>
      </c>
      <c r="Q36" s="27"/>
      <c r="R36" s="22">
        <v>0.5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74.2</v>
      </c>
      <c r="AG36" s="27">
        <f t="shared" si="6"/>
        <v>146.39999999999998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8.900000000000034</v>
      </c>
      <c r="C39" s="22">
        <f t="shared" si="7"/>
        <v>204.6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0.4</v>
      </c>
      <c r="N39" s="22">
        <f t="shared" si="7"/>
        <v>0</v>
      </c>
      <c r="O39" s="22">
        <f t="shared" si="7"/>
        <v>0</v>
      </c>
      <c r="P39" s="22">
        <f t="shared" si="7"/>
        <v>2.3999999999999986</v>
      </c>
      <c r="Q39" s="22">
        <f t="shared" si="7"/>
        <v>0</v>
      </c>
      <c r="R39" s="22">
        <f t="shared" si="7"/>
        <v>0.09999999999999998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4.799999999999998</v>
      </c>
      <c r="AG39" s="27">
        <f>AG33-AG34-AG36-AG38-AG35-AG37</f>
        <v>208.70000000000005</v>
      </c>
    </row>
    <row r="40" spans="1:33" ht="15" customHeight="1">
      <c r="A40" s="4" t="s">
        <v>29</v>
      </c>
      <c r="B40" s="22">
        <v>1005.3</v>
      </c>
      <c r="C40" s="22">
        <v>238.3</v>
      </c>
      <c r="D40" s="22"/>
      <c r="E40" s="22"/>
      <c r="F40" s="22"/>
      <c r="G40" s="22">
        <v>71.6</v>
      </c>
      <c r="H40" s="22"/>
      <c r="I40" s="22"/>
      <c r="J40" s="26"/>
      <c r="K40" s="22">
        <v>375.2</v>
      </c>
      <c r="L40" s="22"/>
      <c r="M40" s="22"/>
      <c r="N40" s="22"/>
      <c r="O40" s="27"/>
      <c r="P40" s="22">
        <v>7</v>
      </c>
      <c r="Q40" s="27"/>
      <c r="R40" s="27">
        <v>7.3</v>
      </c>
      <c r="S40" s="26"/>
      <c r="T40" s="26"/>
      <c r="U40" s="26"/>
      <c r="V40" s="26">
        <v>568.3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1029.3999999999999</v>
      </c>
      <c r="AG40" s="27">
        <f aca="true" t="shared" si="8" ref="AG40:AG45">B40+C40-AF40</f>
        <v>214.20000000000005</v>
      </c>
    </row>
    <row r="41" spans="1:34" ht="15.75">
      <c r="A41" s="3" t="s">
        <v>5</v>
      </c>
      <c r="B41" s="22">
        <v>849.1</v>
      </c>
      <c r="C41" s="22">
        <v>71.7</v>
      </c>
      <c r="D41" s="22"/>
      <c r="E41" s="22"/>
      <c r="F41" s="22"/>
      <c r="G41" s="22"/>
      <c r="H41" s="22"/>
      <c r="I41" s="22"/>
      <c r="J41" s="26"/>
      <c r="K41" s="22">
        <v>284.8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559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843.8</v>
      </c>
      <c r="AG41" s="27">
        <f t="shared" si="8"/>
        <v>77.00000000000011</v>
      </c>
      <c r="AH41" s="6"/>
    </row>
    <row r="42" spans="1:33" ht="15.75">
      <c r="A42" s="3" t="s">
        <v>3</v>
      </c>
      <c r="B42" s="22">
        <v>0.3</v>
      </c>
      <c r="C42" s="22">
        <v>0.5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.75">
      <c r="A43" s="3" t="s">
        <v>1</v>
      </c>
      <c r="B43" s="22">
        <v>8.2</v>
      </c>
      <c r="C43" s="22">
        <v>2.8</v>
      </c>
      <c r="D43" s="22"/>
      <c r="E43" s="22"/>
      <c r="F43" s="22"/>
      <c r="G43" s="22">
        <v>5.6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5.6</v>
      </c>
      <c r="AG43" s="27">
        <f t="shared" si="8"/>
        <v>5.4</v>
      </c>
    </row>
    <row r="44" spans="1:33" ht="15.75">
      <c r="A44" s="3" t="s">
        <v>2</v>
      </c>
      <c r="B44" s="22">
        <v>119.4</v>
      </c>
      <c r="C44" s="22">
        <v>146.2</v>
      </c>
      <c r="D44" s="22"/>
      <c r="E44" s="22"/>
      <c r="F44" s="22"/>
      <c r="G44" s="22">
        <v>53.5</v>
      </c>
      <c r="H44" s="22"/>
      <c r="I44" s="22"/>
      <c r="J44" s="26"/>
      <c r="K44" s="22">
        <v>89.7</v>
      </c>
      <c r="L44" s="22"/>
      <c r="M44" s="22"/>
      <c r="N44" s="22"/>
      <c r="O44" s="27"/>
      <c r="P44" s="22"/>
      <c r="Q44" s="22"/>
      <c r="R44" s="22">
        <v>6.2</v>
      </c>
      <c r="S44" s="26"/>
      <c r="T44" s="26"/>
      <c r="U44" s="26"/>
      <c r="V44" s="26">
        <v>7.2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156.59999999999997</v>
      </c>
      <c r="AG44" s="27">
        <f t="shared" si="8"/>
        <v>109.00000000000006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28.299999999999926</v>
      </c>
      <c r="C46" s="22">
        <f t="shared" si="10"/>
        <v>17.100000000000023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0.6999999999999744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7</v>
      </c>
      <c r="Q46" s="22">
        <f t="shared" si="10"/>
        <v>0</v>
      </c>
      <c r="R46" s="22">
        <f t="shared" si="10"/>
        <v>1.0999999999999996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2.0999999999999543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23.39999999999993</v>
      </c>
      <c r="AG46" s="27">
        <f>AG40-AG41-AG42-AG43-AG44-AG45</f>
        <v>21.999999999999858</v>
      </c>
    </row>
    <row r="47" spans="1:33" ht="17.25" customHeight="1">
      <c r="A47" s="4" t="s">
        <v>43</v>
      </c>
      <c r="B47" s="36">
        <f>1248.1+26.1</f>
        <v>1274.1999999999998</v>
      </c>
      <c r="C47" s="22">
        <v>1046.1</v>
      </c>
      <c r="D47" s="22"/>
      <c r="E47" s="28">
        <v>63.2</v>
      </c>
      <c r="F47" s="28"/>
      <c r="G47" s="28">
        <v>113</v>
      </c>
      <c r="H47" s="28">
        <v>70.6</v>
      </c>
      <c r="I47" s="28"/>
      <c r="J47" s="29"/>
      <c r="K47" s="28">
        <v>140</v>
      </c>
      <c r="L47" s="28"/>
      <c r="M47" s="28"/>
      <c r="N47" s="28">
        <v>195.7</v>
      </c>
      <c r="O47" s="31">
        <v>6.2</v>
      </c>
      <c r="P47" s="28"/>
      <c r="Q47" s="28"/>
      <c r="R47" s="28">
        <v>179.8</v>
      </c>
      <c r="S47" s="29"/>
      <c r="T47" s="29">
        <v>200.1</v>
      </c>
      <c r="U47" s="28">
        <v>39.2</v>
      </c>
      <c r="V47" s="28">
        <v>404.4</v>
      </c>
      <c r="W47" s="28">
        <v>43.9</v>
      </c>
      <c r="X47" s="28">
        <v>5.5</v>
      </c>
      <c r="Y47" s="29"/>
      <c r="Z47" s="29"/>
      <c r="AA47" s="29"/>
      <c r="AB47" s="28"/>
      <c r="AC47" s="28"/>
      <c r="AD47" s="28"/>
      <c r="AE47" s="28"/>
      <c r="AF47" s="27">
        <f t="shared" si="9"/>
        <v>1461.6000000000001</v>
      </c>
      <c r="AG47" s="27">
        <f>B47+C47-AF47</f>
        <v>858.6999999999996</v>
      </c>
    </row>
    <row r="48" spans="1:33" ht="15.75">
      <c r="A48" s="3" t="s">
        <v>5</v>
      </c>
      <c r="B48" s="22">
        <v>35.4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17.3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17.3</v>
      </c>
      <c r="AG48" s="27">
        <f>B48+C48-AF48</f>
        <v>18.099999999999998</v>
      </c>
    </row>
    <row r="49" spans="1:33" ht="15.75">
      <c r="A49" s="3" t="s">
        <v>16</v>
      </c>
      <c r="B49" s="22">
        <f>1047.3+26.1</f>
        <v>1073.3999999999999</v>
      </c>
      <c r="C49" s="22">
        <v>905</v>
      </c>
      <c r="D49" s="22"/>
      <c r="E49" s="22">
        <v>51.6</v>
      </c>
      <c r="F49" s="22"/>
      <c r="G49" s="22">
        <v>111.9</v>
      </c>
      <c r="H49" s="22">
        <v>69.9</v>
      </c>
      <c r="I49" s="22"/>
      <c r="J49" s="26"/>
      <c r="K49" s="22">
        <v>132</v>
      </c>
      <c r="L49" s="22"/>
      <c r="M49" s="22"/>
      <c r="N49" s="22">
        <v>193.8</v>
      </c>
      <c r="O49" s="27"/>
      <c r="P49" s="22"/>
      <c r="Q49" s="22"/>
      <c r="R49" s="22">
        <v>143.3</v>
      </c>
      <c r="S49" s="26"/>
      <c r="T49" s="26">
        <v>175.1</v>
      </c>
      <c r="U49" s="22">
        <v>39.1</v>
      </c>
      <c r="V49" s="22">
        <v>393</v>
      </c>
      <c r="W49" s="22">
        <v>24.9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1334.6000000000001</v>
      </c>
      <c r="AG49" s="27">
        <f>B49+C49-AF49</f>
        <v>643.7999999999997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165.39999999999986</v>
      </c>
      <c r="C51" s="22">
        <f t="shared" si="11"/>
        <v>141.0999999999999</v>
      </c>
      <c r="D51" s="22">
        <f t="shared" si="11"/>
        <v>0</v>
      </c>
      <c r="E51" s="22">
        <f t="shared" si="11"/>
        <v>11.600000000000001</v>
      </c>
      <c r="F51" s="22">
        <f t="shared" si="11"/>
        <v>0</v>
      </c>
      <c r="G51" s="22">
        <f t="shared" si="11"/>
        <v>1.0999999999999943</v>
      </c>
      <c r="H51" s="22">
        <f t="shared" si="11"/>
        <v>0.6999999999999886</v>
      </c>
      <c r="I51" s="22">
        <f t="shared" si="11"/>
        <v>0</v>
      </c>
      <c r="J51" s="22">
        <f t="shared" si="11"/>
        <v>0</v>
      </c>
      <c r="K51" s="22">
        <f t="shared" si="11"/>
        <v>8</v>
      </c>
      <c r="L51" s="22">
        <f t="shared" si="11"/>
        <v>0</v>
      </c>
      <c r="M51" s="22">
        <f t="shared" si="11"/>
        <v>0</v>
      </c>
      <c r="N51" s="22">
        <f t="shared" si="11"/>
        <v>1.8999999999999773</v>
      </c>
      <c r="O51" s="22">
        <f t="shared" si="11"/>
        <v>6.2</v>
      </c>
      <c r="P51" s="22">
        <f t="shared" si="11"/>
        <v>0</v>
      </c>
      <c r="Q51" s="22">
        <f t="shared" si="11"/>
        <v>0</v>
      </c>
      <c r="R51" s="22">
        <f t="shared" si="11"/>
        <v>36.5</v>
      </c>
      <c r="S51" s="22">
        <f t="shared" si="11"/>
        <v>0</v>
      </c>
      <c r="T51" s="22">
        <f t="shared" si="11"/>
        <v>25</v>
      </c>
      <c r="U51" s="22">
        <f t="shared" si="11"/>
        <v>0.10000000000000142</v>
      </c>
      <c r="V51" s="22">
        <f t="shared" si="11"/>
        <v>11.399999999999977</v>
      </c>
      <c r="W51" s="22">
        <f t="shared" si="11"/>
        <v>1.6999999999999993</v>
      </c>
      <c r="X51" s="22">
        <f t="shared" si="11"/>
        <v>5.5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109.69999999999995</v>
      </c>
      <c r="AG51" s="27">
        <f>AG47-AG49-AG48</f>
        <v>196.79999999999987</v>
      </c>
    </row>
    <row r="52" spans="1:33" ht="15" customHeight="1">
      <c r="A52" s="4" t="s">
        <v>0</v>
      </c>
      <c r="B52" s="22">
        <v>7016</v>
      </c>
      <c r="C52" s="22">
        <v>1675.5</v>
      </c>
      <c r="D52" s="22"/>
      <c r="E52" s="22">
        <v>2372.9</v>
      </c>
      <c r="F52" s="22">
        <v>1</v>
      </c>
      <c r="G52" s="22">
        <v>6.8</v>
      </c>
      <c r="H52" s="22"/>
      <c r="I52" s="22"/>
      <c r="J52" s="26"/>
      <c r="K52" s="22">
        <f>217.3</f>
        <v>217.3</v>
      </c>
      <c r="L52" s="22">
        <v>273.2</v>
      </c>
      <c r="M52" s="22">
        <v>68.3</v>
      </c>
      <c r="N52" s="22">
        <v>-0.1</v>
      </c>
      <c r="O52" s="27">
        <v>331.5</v>
      </c>
      <c r="P52" s="22">
        <v>504</v>
      </c>
      <c r="Q52" s="22"/>
      <c r="R52" s="22">
        <v>66.1</v>
      </c>
      <c r="S52" s="26"/>
      <c r="T52" s="26"/>
      <c r="U52" s="26">
        <v>441.2</v>
      </c>
      <c r="V52" s="26">
        <v>942.7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5224.900000000001</v>
      </c>
      <c r="AG52" s="27">
        <f aca="true" t="shared" si="12" ref="AG52:AG59">B52+C52-AF52</f>
        <v>3466.5999999999995</v>
      </c>
    </row>
    <row r="53" spans="1:33" ht="15" customHeight="1">
      <c r="A53" s="3" t="s">
        <v>2</v>
      </c>
      <c r="B53" s="22">
        <v>707.2</v>
      </c>
      <c r="C53" s="22">
        <v>937.8</v>
      </c>
      <c r="D53" s="22"/>
      <c r="E53" s="22">
        <v>1051.8</v>
      </c>
      <c r="F53" s="22">
        <v>1</v>
      </c>
      <c r="G53" s="22"/>
      <c r="H53" s="22"/>
      <c r="I53" s="22"/>
      <c r="J53" s="26"/>
      <c r="K53" s="22"/>
      <c r="L53" s="22"/>
      <c r="M53" s="22">
        <v>68.3</v>
      </c>
      <c r="N53" s="22"/>
      <c r="O53" s="27"/>
      <c r="P53" s="22"/>
      <c r="Q53" s="22"/>
      <c r="R53" s="22">
        <v>66.1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1187.1999999999998</v>
      </c>
      <c r="AG53" s="27">
        <f t="shared" si="12"/>
        <v>457.8000000000002</v>
      </c>
    </row>
    <row r="54" spans="1:34" ht="15" customHeight="1">
      <c r="A54" s="4" t="s">
        <v>9</v>
      </c>
      <c r="B54" s="44">
        <f>4962+207.3</f>
        <v>5169.3</v>
      </c>
      <c r="C54" s="22">
        <v>1291.1</v>
      </c>
      <c r="D54" s="22"/>
      <c r="E54" s="22">
        <v>148.5</v>
      </c>
      <c r="F54" s="22">
        <v>65.1</v>
      </c>
      <c r="G54" s="22">
        <v>168.2</v>
      </c>
      <c r="H54" s="22">
        <v>2</v>
      </c>
      <c r="I54" s="22"/>
      <c r="J54" s="26"/>
      <c r="K54" s="22">
        <f>192.1+2.9</f>
        <v>195</v>
      </c>
      <c r="L54" s="22">
        <v>1854.2</v>
      </c>
      <c r="M54" s="22">
        <v>111.8</v>
      </c>
      <c r="N54" s="22">
        <v>11.9</v>
      </c>
      <c r="O54" s="27">
        <v>51</v>
      </c>
      <c r="P54" s="22">
        <v>73.3</v>
      </c>
      <c r="Q54" s="27">
        <v>98</v>
      </c>
      <c r="R54" s="22"/>
      <c r="S54" s="26"/>
      <c r="T54" s="26">
        <v>192</v>
      </c>
      <c r="U54" s="26">
        <v>131.2</v>
      </c>
      <c r="V54" s="26">
        <v>1842</v>
      </c>
      <c r="W54" s="26">
        <v>37.2</v>
      </c>
      <c r="X54" s="22">
        <v>0.2</v>
      </c>
      <c r="Y54" s="26"/>
      <c r="Z54" s="26"/>
      <c r="AA54" s="26"/>
      <c r="AB54" s="22"/>
      <c r="AC54" s="22"/>
      <c r="AD54" s="22"/>
      <c r="AE54" s="22"/>
      <c r="AF54" s="27">
        <f t="shared" si="9"/>
        <v>4981.6</v>
      </c>
      <c r="AG54" s="22">
        <f t="shared" si="12"/>
        <v>1478.7999999999993</v>
      </c>
      <c r="AH54" s="6"/>
    </row>
    <row r="55" spans="1:34" ht="15.75">
      <c r="A55" s="3" t="s">
        <v>5</v>
      </c>
      <c r="B55" s="22">
        <f>3645.6+207.4+1.5+47.6</f>
        <v>3902.1</v>
      </c>
      <c r="C55" s="22">
        <v>171.5</v>
      </c>
      <c r="D55" s="22"/>
      <c r="E55" s="22"/>
      <c r="F55" s="22"/>
      <c r="G55" s="22">
        <v>81</v>
      </c>
      <c r="H55" s="22"/>
      <c r="I55" s="22"/>
      <c r="J55" s="26"/>
      <c r="K55" s="22"/>
      <c r="L55" s="22">
        <v>1854.2</v>
      </c>
      <c r="M55" s="22"/>
      <c r="N55" s="22"/>
      <c r="O55" s="27"/>
      <c r="P55" s="22"/>
      <c r="Q55" s="27"/>
      <c r="R55" s="22"/>
      <c r="S55" s="26"/>
      <c r="T55" s="26"/>
      <c r="U55" s="26">
        <v>129.9</v>
      </c>
      <c r="V55" s="26">
        <v>1804.7</v>
      </c>
      <c r="W55" s="26">
        <v>34.4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3904.2000000000003</v>
      </c>
      <c r="AG55" s="22">
        <f t="shared" si="12"/>
        <v>169.39999999999964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528.8+1.5-1.5-47.6</f>
        <v>481.19999999999993</v>
      </c>
      <c r="C57" s="22">
        <v>409.1</v>
      </c>
      <c r="D57" s="22"/>
      <c r="E57" s="22">
        <v>15.2</v>
      </c>
      <c r="F57" s="22"/>
      <c r="G57" s="22"/>
      <c r="H57" s="22"/>
      <c r="I57" s="22"/>
      <c r="J57" s="26"/>
      <c r="K57" s="22">
        <f>183.7+1</f>
        <v>184.7</v>
      </c>
      <c r="L57" s="22"/>
      <c r="M57" s="22"/>
      <c r="N57" s="22"/>
      <c r="O57" s="27"/>
      <c r="P57" s="22">
        <v>9.2</v>
      </c>
      <c r="Q57" s="27"/>
      <c r="R57" s="22"/>
      <c r="S57" s="26"/>
      <c r="T57" s="26">
        <v>183.2</v>
      </c>
      <c r="U57" s="26">
        <v>0.9</v>
      </c>
      <c r="V57" s="26">
        <v>11.9</v>
      </c>
      <c r="W57" s="26">
        <v>0.1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405.19999999999993</v>
      </c>
      <c r="AG57" s="22">
        <f t="shared" si="12"/>
        <v>485.1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5.1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780.9000000000003</v>
      </c>
      <c r="C60" s="22">
        <f t="shared" si="13"/>
        <v>710.4999999999999</v>
      </c>
      <c r="D60" s="22">
        <f t="shared" si="13"/>
        <v>0</v>
      </c>
      <c r="E60" s="22">
        <f t="shared" si="13"/>
        <v>133.3</v>
      </c>
      <c r="F60" s="22">
        <f t="shared" si="13"/>
        <v>65.1</v>
      </c>
      <c r="G60" s="22">
        <f t="shared" si="13"/>
        <v>87.19999999999999</v>
      </c>
      <c r="H60" s="22">
        <f t="shared" si="13"/>
        <v>2</v>
      </c>
      <c r="I60" s="22">
        <f t="shared" si="13"/>
        <v>0</v>
      </c>
      <c r="J60" s="22">
        <f t="shared" si="13"/>
        <v>0</v>
      </c>
      <c r="K60" s="22">
        <f t="shared" si="13"/>
        <v>10.300000000000011</v>
      </c>
      <c r="L60" s="22">
        <f t="shared" si="13"/>
        <v>0</v>
      </c>
      <c r="M60" s="22">
        <f t="shared" si="13"/>
        <v>111.8</v>
      </c>
      <c r="N60" s="22">
        <f t="shared" si="13"/>
        <v>6.800000000000001</v>
      </c>
      <c r="O60" s="22">
        <f t="shared" si="13"/>
        <v>51</v>
      </c>
      <c r="P60" s="22">
        <f t="shared" si="13"/>
        <v>64.1</v>
      </c>
      <c r="Q60" s="22">
        <f t="shared" si="13"/>
        <v>98</v>
      </c>
      <c r="R60" s="22">
        <f t="shared" si="13"/>
        <v>0</v>
      </c>
      <c r="S60" s="22">
        <f t="shared" si="13"/>
        <v>0</v>
      </c>
      <c r="T60" s="22">
        <f t="shared" si="13"/>
        <v>8.800000000000011</v>
      </c>
      <c r="U60" s="22">
        <f t="shared" si="13"/>
        <v>0.3999999999999829</v>
      </c>
      <c r="V60" s="22">
        <f t="shared" si="13"/>
        <v>25.399999999999956</v>
      </c>
      <c r="W60" s="22">
        <f t="shared" si="13"/>
        <v>2.700000000000004</v>
      </c>
      <c r="X60" s="22">
        <f t="shared" si="13"/>
        <v>0.2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667.1000000000001</v>
      </c>
      <c r="AG60" s="22">
        <f>AG54-AG55-AG57-AG59-AG56-AG58</f>
        <v>824.2999999999996</v>
      </c>
    </row>
    <row r="61" spans="1:33" ht="15" customHeight="1">
      <c r="A61" s="4" t="s">
        <v>10</v>
      </c>
      <c r="B61" s="22">
        <f>152.4+6.6+16.5</f>
        <v>175.5</v>
      </c>
      <c r="C61" s="22">
        <v>83</v>
      </c>
      <c r="D61" s="22">
        <v>3</v>
      </c>
      <c r="E61" s="22">
        <v>14.7</v>
      </c>
      <c r="F61" s="22"/>
      <c r="G61" s="22"/>
      <c r="H61" s="22">
        <v>7.1</v>
      </c>
      <c r="I61" s="22"/>
      <c r="J61" s="26"/>
      <c r="K61" s="22">
        <v>8.4</v>
      </c>
      <c r="L61" s="22"/>
      <c r="M61" s="22">
        <v>11.5</v>
      </c>
      <c r="N61" s="22">
        <v>17.6</v>
      </c>
      <c r="O61" s="27"/>
      <c r="P61" s="22"/>
      <c r="Q61" s="27"/>
      <c r="R61" s="22"/>
      <c r="S61" s="26"/>
      <c r="T61" s="26"/>
      <c r="U61" s="26">
        <v>100.3</v>
      </c>
      <c r="V61" s="26">
        <v>27.2</v>
      </c>
      <c r="W61" s="26">
        <v>6.2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195.99999999999997</v>
      </c>
      <c r="AG61" s="22">
        <f aca="true" t="shared" si="15" ref="AG61:AG67">B61+C61-AF61</f>
        <v>62.50000000000003</v>
      </c>
    </row>
    <row r="62" spans="1:33" ht="15" customHeight="1">
      <c r="A62" s="4" t="s">
        <v>11</v>
      </c>
      <c r="B62" s="22">
        <f>2091.5+50+356.2</f>
        <v>2497.7</v>
      </c>
      <c r="C62" s="22">
        <v>499.8</v>
      </c>
      <c r="D62" s="22">
        <v>4.9</v>
      </c>
      <c r="E62" s="22"/>
      <c r="F62" s="22">
        <v>131.2</v>
      </c>
      <c r="G62" s="22"/>
      <c r="H62" s="22">
        <v>59.3</v>
      </c>
      <c r="I62" s="22"/>
      <c r="J62" s="26"/>
      <c r="K62" s="22">
        <f>161.2+407.6</f>
        <v>568.8</v>
      </c>
      <c r="L62" s="22">
        <v>113.2</v>
      </c>
      <c r="M62" s="22">
        <v>131.2</v>
      </c>
      <c r="N62" s="22"/>
      <c r="O62" s="27">
        <v>51.5</v>
      </c>
      <c r="P62" s="22">
        <v>32.5</v>
      </c>
      <c r="Q62" s="27">
        <v>2.5</v>
      </c>
      <c r="R62" s="22">
        <v>9</v>
      </c>
      <c r="S62" s="26">
        <v>29.3</v>
      </c>
      <c r="T62" s="26">
        <v>48.7</v>
      </c>
      <c r="U62" s="26">
        <v>24.6</v>
      </c>
      <c r="V62" s="26">
        <v>895.5</v>
      </c>
      <c r="W62" s="26">
        <v>47.8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2150</v>
      </c>
      <c r="AG62" s="22">
        <f t="shared" si="15"/>
        <v>847.5</v>
      </c>
    </row>
    <row r="63" spans="1:34" ht="15.75">
      <c r="A63" s="3" t="s">
        <v>5</v>
      </c>
      <c r="B63" s="22">
        <v>1194</v>
      </c>
      <c r="C63" s="22">
        <v>44.3</v>
      </c>
      <c r="D63" s="22"/>
      <c r="E63" s="22"/>
      <c r="F63" s="22"/>
      <c r="G63" s="22"/>
      <c r="H63" s="22"/>
      <c r="I63" s="22"/>
      <c r="J63" s="26"/>
      <c r="K63" s="22">
        <v>403.1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>
        <v>730.4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1133.5</v>
      </c>
      <c r="AG63" s="22">
        <f t="shared" si="15"/>
        <v>104.79999999999995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75</v>
      </c>
      <c r="C65" s="22">
        <v>92.4</v>
      </c>
      <c r="D65" s="22">
        <v>4.5</v>
      </c>
      <c r="E65" s="22"/>
      <c r="F65" s="22">
        <v>16.8</v>
      </c>
      <c r="G65" s="22"/>
      <c r="H65" s="22">
        <v>19.2</v>
      </c>
      <c r="I65" s="22"/>
      <c r="J65" s="26"/>
      <c r="K65" s="22">
        <v>9.7</v>
      </c>
      <c r="L65" s="22"/>
      <c r="M65" s="22">
        <v>3.1</v>
      </c>
      <c r="N65" s="22"/>
      <c r="O65" s="27">
        <v>1.1</v>
      </c>
      <c r="P65" s="22">
        <v>1.4</v>
      </c>
      <c r="Q65" s="27">
        <v>2.5</v>
      </c>
      <c r="R65" s="22"/>
      <c r="S65" s="26"/>
      <c r="T65" s="26">
        <v>5.7</v>
      </c>
      <c r="U65" s="26">
        <v>19.9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84.7</v>
      </c>
      <c r="AG65" s="22">
        <f t="shared" si="15"/>
        <v>82.7</v>
      </c>
      <c r="AH65" s="6"/>
    </row>
    <row r="66" spans="1:33" ht="15.75">
      <c r="A66" s="3" t="s">
        <v>2</v>
      </c>
      <c r="B66" s="22">
        <v>167</v>
      </c>
      <c r="C66" s="22">
        <v>146.1</v>
      </c>
      <c r="D66" s="22">
        <v>0.4</v>
      </c>
      <c r="E66" s="22"/>
      <c r="F66" s="22">
        <v>16.8</v>
      </c>
      <c r="G66" s="22"/>
      <c r="H66" s="22">
        <v>14.9</v>
      </c>
      <c r="I66" s="22"/>
      <c r="J66" s="26"/>
      <c r="K66" s="22">
        <v>10.4</v>
      </c>
      <c r="L66" s="22"/>
      <c r="M66" s="22">
        <v>71.4</v>
      </c>
      <c r="N66" s="22"/>
      <c r="O66" s="27">
        <v>0.3</v>
      </c>
      <c r="P66" s="22">
        <v>1.2</v>
      </c>
      <c r="Q66" s="22"/>
      <c r="R66" s="22"/>
      <c r="S66" s="26">
        <v>1.4</v>
      </c>
      <c r="T66" s="26">
        <v>16</v>
      </c>
      <c r="U66" s="26">
        <v>1.2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134</v>
      </c>
      <c r="AG66" s="22">
        <f t="shared" si="15"/>
        <v>179.10000000000002</v>
      </c>
    </row>
    <row r="67" spans="1:33" ht="15.75">
      <c r="A67" s="3" t="s">
        <v>16</v>
      </c>
      <c r="B67" s="22">
        <v>43.2</v>
      </c>
      <c r="C67" s="22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.75">
      <c r="A68" s="3" t="s">
        <v>23</v>
      </c>
      <c r="B68" s="22">
        <f aca="true" t="shared" si="16" ref="B68:AD68">B62-B63-B66-B67-B65-B64</f>
        <v>1018.4999999999998</v>
      </c>
      <c r="C68" s="22">
        <f t="shared" si="16"/>
        <v>210.49999999999997</v>
      </c>
      <c r="D68" s="22">
        <f t="shared" si="16"/>
        <v>0</v>
      </c>
      <c r="E68" s="22">
        <f t="shared" si="16"/>
        <v>0</v>
      </c>
      <c r="F68" s="22">
        <f t="shared" si="16"/>
        <v>97.6</v>
      </c>
      <c r="G68" s="22">
        <f t="shared" si="16"/>
        <v>0</v>
      </c>
      <c r="H68" s="22">
        <f t="shared" si="16"/>
        <v>25.2</v>
      </c>
      <c r="I68" s="22">
        <f t="shared" si="16"/>
        <v>0</v>
      </c>
      <c r="J68" s="22">
        <f t="shared" si="16"/>
        <v>0</v>
      </c>
      <c r="K68" s="22">
        <f t="shared" si="16"/>
        <v>145.59999999999994</v>
      </c>
      <c r="L68" s="22">
        <f t="shared" si="16"/>
        <v>113.2</v>
      </c>
      <c r="M68" s="22">
        <f t="shared" si="16"/>
        <v>56.69999999999998</v>
      </c>
      <c r="N68" s="22">
        <f t="shared" si="16"/>
        <v>0</v>
      </c>
      <c r="O68" s="22">
        <f t="shared" si="16"/>
        <v>10.100000000000003</v>
      </c>
      <c r="P68" s="22">
        <f t="shared" si="16"/>
        <v>29.900000000000002</v>
      </c>
      <c r="Q68" s="22">
        <f t="shared" si="16"/>
        <v>0</v>
      </c>
      <c r="R68" s="22">
        <f t="shared" si="16"/>
        <v>9</v>
      </c>
      <c r="S68" s="22">
        <f t="shared" si="16"/>
        <v>27.900000000000002</v>
      </c>
      <c r="T68" s="22">
        <f t="shared" si="16"/>
        <v>27.000000000000004</v>
      </c>
      <c r="U68" s="22">
        <f t="shared" si="16"/>
        <v>3.5000000000000036</v>
      </c>
      <c r="V68" s="22">
        <f t="shared" si="16"/>
        <v>165.10000000000002</v>
      </c>
      <c r="W68" s="22">
        <f t="shared" si="16"/>
        <v>47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757.8</v>
      </c>
      <c r="AG68" s="22">
        <f>AG62-AG63-AG66-AG67-AG65-AG64</f>
        <v>471.2</v>
      </c>
    </row>
    <row r="69" spans="1:33" ht="31.5">
      <c r="A69" s="4" t="s">
        <v>46</v>
      </c>
      <c r="B69" s="22">
        <f>3172.3+948.2</f>
        <v>4120.5</v>
      </c>
      <c r="C69" s="22">
        <v>840.8</v>
      </c>
      <c r="D69" s="22"/>
      <c r="E69" s="22">
        <v>1853.3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>
        <v>812.9</v>
      </c>
      <c r="R69" s="22"/>
      <c r="S69" s="26">
        <v>1333.3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3999.5</v>
      </c>
      <c r="AG69" s="30">
        <f aca="true" t="shared" si="17" ref="AG69:AG92">B69+C69-AF69</f>
        <v>961.8000000000002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389.9</v>
      </c>
      <c r="D71" s="28"/>
      <c r="E71" s="28">
        <v>92.5</v>
      </c>
      <c r="F71" s="28"/>
      <c r="G71" s="28"/>
      <c r="H71" s="28"/>
      <c r="I71" s="28"/>
      <c r="J71" s="29"/>
      <c r="K71" s="28">
        <v>565.2</v>
      </c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121.3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779</v>
      </c>
      <c r="AG71" s="30">
        <f t="shared" si="17"/>
        <v>435.79999999999995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1169.9+346.9-167.5-42.5-0.4</f>
        <v>1306.4</v>
      </c>
      <c r="C72" s="22">
        <v>1900.9</v>
      </c>
      <c r="D72" s="22"/>
      <c r="E72" s="22">
        <v>86</v>
      </c>
      <c r="F72" s="22">
        <f>66+42.5</f>
        <v>108.5</v>
      </c>
      <c r="G72" s="22">
        <v>29.8</v>
      </c>
      <c r="H72" s="22">
        <v>19.9</v>
      </c>
      <c r="I72" s="22"/>
      <c r="J72" s="26"/>
      <c r="K72" s="22">
        <f>187.4+30.9</f>
        <v>218.3</v>
      </c>
      <c r="L72" s="22"/>
      <c r="M72" s="22">
        <v>71.6</v>
      </c>
      <c r="N72" s="22">
        <v>6.9</v>
      </c>
      <c r="O72" s="22">
        <v>10.4</v>
      </c>
      <c r="P72" s="22">
        <v>3.9</v>
      </c>
      <c r="Q72" s="27">
        <v>42.7</v>
      </c>
      <c r="R72" s="22">
        <f>19+11.8</f>
        <v>30.8</v>
      </c>
      <c r="S72" s="26"/>
      <c r="T72" s="26">
        <v>47.6</v>
      </c>
      <c r="U72" s="26">
        <v>294.5</v>
      </c>
      <c r="V72" s="26"/>
      <c r="W72" s="26">
        <v>22.7</v>
      </c>
      <c r="X72" s="22">
        <v>3.3</v>
      </c>
      <c r="Y72" s="26"/>
      <c r="Z72" s="26"/>
      <c r="AA72" s="26"/>
      <c r="AB72" s="22"/>
      <c r="AC72" s="22"/>
      <c r="AD72" s="22"/>
      <c r="AE72" s="22"/>
      <c r="AF72" s="27">
        <f t="shared" si="14"/>
        <v>996.9</v>
      </c>
      <c r="AG72" s="30">
        <f t="shared" si="17"/>
        <v>2210.4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391.7</v>
      </c>
      <c r="C74" s="22">
        <v>579.3</v>
      </c>
      <c r="D74" s="22"/>
      <c r="E74" s="22">
        <v>47.8</v>
      </c>
      <c r="F74" s="22">
        <v>94.4</v>
      </c>
      <c r="G74" s="22"/>
      <c r="H74" s="22">
        <v>18.1</v>
      </c>
      <c r="I74" s="22"/>
      <c r="J74" s="26"/>
      <c r="K74" s="22">
        <v>30</v>
      </c>
      <c r="L74" s="22"/>
      <c r="M74" s="22"/>
      <c r="N74" s="22"/>
      <c r="O74" s="22"/>
      <c r="P74" s="22"/>
      <c r="Q74" s="27">
        <v>15.2</v>
      </c>
      <c r="R74" s="22"/>
      <c r="S74" s="26"/>
      <c r="T74" s="26">
        <v>36.5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241.99999999999997</v>
      </c>
      <c r="AG74" s="30">
        <f t="shared" si="17"/>
        <v>729</v>
      </c>
    </row>
    <row r="75" spans="1:33" ht="15" customHeight="1">
      <c r="A75" s="3" t="s">
        <v>16</v>
      </c>
      <c r="B75" s="22">
        <v>91.1</v>
      </c>
      <c r="C75" s="22">
        <v>0.5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85.19999999999999</v>
      </c>
    </row>
    <row r="76" spans="1:33" s="11" customFormat="1" ht="15.75">
      <c r="A76" s="12" t="s">
        <v>49</v>
      </c>
      <c r="B76" s="22">
        <v>128.9</v>
      </c>
      <c r="C76" s="22">
        <v>130</v>
      </c>
      <c r="D76" s="22"/>
      <c r="E76" s="28">
        <v>6.3</v>
      </c>
      <c r="F76" s="28"/>
      <c r="G76" s="28"/>
      <c r="H76" s="28"/>
      <c r="I76" s="28"/>
      <c r="J76" s="29"/>
      <c r="K76" s="28">
        <v>46.3</v>
      </c>
      <c r="L76" s="28"/>
      <c r="M76" s="28"/>
      <c r="N76" s="28"/>
      <c r="O76" s="28"/>
      <c r="P76" s="28"/>
      <c r="Q76" s="31"/>
      <c r="R76" s="28">
        <v>13.6</v>
      </c>
      <c r="S76" s="29"/>
      <c r="T76" s="29">
        <v>50.5</v>
      </c>
      <c r="U76" s="28">
        <v>6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122.69999999999999</v>
      </c>
      <c r="AG76" s="30">
        <f t="shared" si="17"/>
        <v>136.2</v>
      </c>
    </row>
    <row r="77" spans="1:33" s="11" customFormat="1" ht="15.75">
      <c r="A77" s="3" t="s">
        <v>5</v>
      </c>
      <c r="B77" s="22">
        <v>88.9</v>
      </c>
      <c r="C77" s="22">
        <v>0.6</v>
      </c>
      <c r="D77" s="22"/>
      <c r="E77" s="28"/>
      <c r="F77" s="28"/>
      <c r="G77" s="28"/>
      <c r="H77" s="28"/>
      <c r="I77" s="28"/>
      <c r="J77" s="29"/>
      <c r="K77" s="28">
        <v>46.3</v>
      </c>
      <c r="L77" s="28"/>
      <c r="M77" s="28"/>
      <c r="N77" s="28"/>
      <c r="O77" s="28"/>
      <c r="P77" s="28"/>
      <c r="Q77" s="31"/>
      <c r="R77" s="28"/>
      <c r="S77" s="29"/>
      <c r="T77" s="29">
        <v>42.7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</v>
      </c>
      <c r="AG77" s="30">
        <f t="shared" si="17"/>
        <v>0.5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6.1</v>
      </c>
      <c r="C80" s="22">
        <v>8.5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6</v>
      </c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</v>
      </c>
      <c r="AG80" s="30">
        <f t="shared" si="17"/>
        <v>8.6</v>
      </c>
    </row>
    <row r="81" spans="1:33" s="11" customFormat="1" ht="15.75">
      <c r="A81" s="12" t="s">
        <v>50</v>
      </c>
      <c r="B81" s="22">
        <v>64.1</v>
      </c>
      <c r="C81" s="28">
        <v>0</v>
      </c>
      <c r="D81" s="28"/>
      <c r="E81" s="28"/>
      <c r="F81" s="28"/>
      <c r="G81" s="28"/>
      <c r="H81" s="28"/>
      <c r="I81" s="28">
        <v>19.2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19.2</v>
      </c>
      <c r="AG81" s="30">
        <f t="shared" si="17"/>
        <v>44.89999999999999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5950-1000-281.5</f>
        <v>4668.5</v>
      </c>
      <c r="C89" s="22">
        <v>4137.5</v>
      </c>
      <c r="D89" s="22"/>
      <c r="E89" s="22"/>
      <c r="F89" s="22"/>
      <c r="G89" s="22">
        <v>127</v>
      </c>
      <c r="H89" s="22">
        <v>188.8</v>
      </c>
      <c r="I89" s="22"/>
      <c r="J89" s="22"/>
      <c r="K89" s="22">
        <f>35+34.4</f>
        <v>69.4</v>
      </c>
      <c r="L89" s="22">
        <v>131.7</v>
      </c>
      <c r="M89" s="22"/>
      <c r="N89" s="22">
        <v>84.3</v>
      </c>
      <c r="O89" s="22">
        <v>48.1</v>
      </c>
      <c r="P89" s="22"/>
      <c r="Q89" s="22">
        <v>145.2</v>
      </c>
      <c r="R89" s="22">
        <v>164.4</v>
      </c>
      <c r="S89" s="26"/>
      <c r="T89" s="26"/>
      <c r="U89" s="22"/>
      <c r="V89" s="22">
        <v>282.5</v>
      </c>
      <c r="W89" s="22"/>
      <c r="X89" s="26">
        <v>2057</v>
      </c>
      <c r="Y89" s="26"/>
      <c r="Z89" s="26"/>
      <c r="AA89" s="26"/>
      <c r="AB89" s="22"/>
      <c r="AC89" s="22"/>
      <c r="AD89" s="22"/>
      <c r="AE89" s="22"/>
      <c r="AF89" s="27">
        <f t="shared" si="14"/>
        <v>3298.4</v>
      </c>
      <c r="AG89" s="22">
        <f t="shared" si="17"/>
        <v>5507.6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f>833.3-100</f>
        <v>733.3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2400</v>
      </c>
      <c r="AH91" s="11"/>
    </row>
    <row r="92" spans="1:34" ht="15.75">
      <c r="A92" s="4" t="s">
        <v>37</v>
      </c>
      <c r="B92" s="22">
        <f>18956+4476.3+281.4</f>
        <v>23713.7</v>
      </c>
      <c r="C92" s="22">
        <v>0</v>
      </c>
      <c r="D92" s="22"/>
      <c r="E92" s="22"/>
      <c r="F92" s="22"/>
      <c r="G92" s="22"/>
      <c r="H92" s="22">
        <v>1500</v>
      </c>
      <c r="I92" s="22">
        <v>6413</v>
      </c>
      <c r="J92" s="22"/>
      <c r="K92" s="22"/>
      <c r="L92" s="22"/>
      <c r="M92" s="22"/>
      <c r="N92" s="22">
        <v>155.4</v>
      </c>
      <c r="O92" s="22">
        <v>2591.5</v>
      </c>
      <c r="P92" s="22"/>
      <c r="Q92" s="22">
        <v>899.7</v>
      </c>
      <c r="R92" s="22"/>
      <c r="S92" s="26">
        <v>3383.3</v>
      </c>
      <c r="T92" s="26"/>
      <c r="U92" s="22"/>
      <c r="V92" s="22"/>
      <c r="W92" s="22">
        <v>1969.5</v>
      </c>
      <c r="X92" s="26">
        <v>5413.3</v>
      </c>
      <c r="Y92" s="26">
        <v>1388</v>
      </c>
      <c r="Z92" s="26"/>
      <c r="AA92" s="26"/>
      <c r="AB92" s="22"/>
      <c r="AC92" s="22"/>
      <c r="AD92" s="22"/>
      <c r="AE92" s="22"/>
      <c r="AF92" s="27">
        <f t="shared" si="14"/>
        <v>23713.7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159331.9</v>
      </c>
      <c r="C94" s="42">
        <f t="shared" si="18"/>
        <v>60274.10000000001</v>
      </c>
      <c r="D94" s="42">
        <f t="shared" si="18"/>
        <v>7.9</v>
      </c>
      <c r="E94" s="42">
        <f t="shared" si="18"/>
        <v>4681.9</v>
      </c>
      <c r="F94" s="42">
        <f t="shared" si="18"/>
        <v>4364.7</v>
      </c>
      <c r="G94" s="42">
        <f t="shared" si="18"/>
        <v>4086.2000000000003</v>
      </c>
      <c r="H94" s="42">
        <f t="shared" si="18"/>
        <v>1900.5</v>
      </c>
      <c r="I94" s="42">
        <f t="shared" si="18"/>
        <v>7163.9</v>
      </c>
      <c r="J94" s="42">
        <f t="shared" si="18"/>
        <v>1309.1</v>
      </c>
      <c r="K94" s="42">
        <f t="shared" si="18"/>
        <v>32305.800000000003</v>
      </c>
      <c r="L94" s="42">
        <f t="shared" si="18"/>
        <v>4315.799999999999</v>
      </c>
      <c r="M94" s="42">
        <f t="shared" si="18"/>
        <v>515.5</v>
      </c>
      <c r="N94" s="42">
        <f t="shared" si="18"/>
        <v>1393.7000000000003</v>
      </c>
      <c r="O94" s="42">
        <f t="shared" si="18"/>
        <v>4014.6</v>
      </c>
      <c r="P94" s="42">
        <f t="shared" si="18"/>
        <v>7974.9</v>
      </c>
      <c r="Q94" s="42">
        <f t="shared" si="18"/>
        <v>2982.9000000000005</v>
      </c>
      <c r="R94" s="42">
        <f t="shared" si="18"/>
        <v>2806.4</v>
      </c>
      <c r="S94" s="42">
        <f t="shared" si="18"/>
        <v>4867.4</v>
      </c>
      <c r="T94" s="42">
        <f t="shared" si="18"/>
        <v>4665.400000000001</v>
      </c>
      <c r="U94" s="42">
        <f t="shared" si="18"/>
        <v>38745.99999999999</v>
      </c>
      <c r="V94" s="42">
        <f t="shared" si="18"/>
        <v>8953.099999999999</v>
      </c>
      <c r="W94" s="42">
        <f t="shared" si="18"/>
        <v>3872</v>
      </c>
      <c r="X94" s="42">
        <f t="shared" si="18"/>
        <v>8866.8</v>
      </c>
      <c r="Y94" s="42">
        <f t="shared" si="18"/>
        <v>2202.6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151997.1</v>
      </c>
      <c r="AG94" s="58">
        <f>AG10+AG15+AG24+AG33+AG47+AG52+AG54+AG61+AG62+AG69+AG71+AG72+AG76+AG81+AG82+AG83+AG88+AG89+AG90+AG91+AG70+AG40+AG92</f>
        <v>67608.89999999998</v>
      </c>
    </row>
    <row r="95" spans="1:33" ht="15.75">
      <c r="A95" s="3" t="s">
        <v>5</v>
      </c>
      <c r="B95" s="22">
        <f aca="true" t="shared" si="19" ref="B95:AD95">B11+B17+B26+B34+B55+B63+B73+B41+B77+B48</f>
        <v>55239.69999999999</v>
      </c>
      <c r="C95" s="22">
        <f t="shared" si="19"/>
        <v>17682.3</v>
      </c>
      <c r="D95" s="22">
        <f t="shared" si="19"/>
        <v>0</v>
      </c>
      <c r="E95" s="22">
        <f t="shared" si="19"/>
        <v>5.7</v>
      </c>
      <c r="F95" s="22">
        <f t="shared" si="19"/>
        <v>26.799999999999997</v>
      </c>
      <c r="G95" s="22">
        <f t="shared" si="19"/>
        <v>95.2</v>
      </c>
      <c r="H95" s="22">
        <f t="shared" si="19"/>
        <v>7.6</v>
      </c>
      <c r="I95" s="22">
        <f t="shared" si="19"/>
        <v>309.4</v>
      </c>
      <c r="J95" s="22">
        <f t="shared" si="19"/>
        <v>0</v>
      </c>
      <c r="K95" s="22">
        <f t="shared" si="19"/>
        <v>15244.499999999998</v>
      </c>
      <c r="L95" s="22">
        <f t="shared" si="19"/>
        <v>3797.7</v>
      </c>
      <c r="M95" s="22">
        <f t="shared" si="19"/>
        <v>8</v>
      </c>
      <c r="N95" s="22">
        <f t="shared" si="19"/>
        <v>747.5</v>
      </c>
      <c r="O95" s="22">
        <f t="shared" si="19"/>
        <v>2.8</v>
      </c>
      <c r="P95" s="22">
        <f t="shared" si="19"/>
        <v>0</v>
      </c>
      <c r="Q95" s="22">
        <f t="shared" si="19"/>
        <v>20.2</v>
      </c>
      <c r="R95" s="22">
        <f t="shared" si="19"/>
        <v>0</v>
      </c>
      <c r="S95" s="22">
        <f t="shared" si="19"/>
        <v>0</v>
      </c>
      <c r="T95" s="22">
        <f t="shared" si="19"/>
        <v>42.7</v>
      </c>
      <c r="U95" s="22">
        <f t="shared" si="19"/>
        <v>21591.9</v>
      </c>
      <c r="V95" s="22">
        <f t="shared" si="19"/>
        <v>4237.8</v>
      </c>
      <c r="W95" s="22">
        <f t="shared" si="19"/>
        <v>1648.6000000000001</v>
      </c>
      <c r="X95" s="22">
        <f t="shared" si="19"/>
        <v>1340.8</v>
      </c>
      <c r="Y95" s="22">
        <f t="shared" si="19"/>
        <v>-4.5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49122.700000000004</v>
      </c>
      <c r="AG95" s="27">
        <f>B95+C95-AF95</f>
        <v>23799.29999999998</v>
      </c>
    </row>
    <row r="96" spans="1:33" ht="15.75">
      <c r="A96" s="3" t="s">
        <v>2</v>
      </c>
      <c r="B96" s="22">
        <f aca="true" t="shared" si="20" ref="B96:AD96">B12+B20+B29+B36+B57+B66+B44+B80+B74+B53</f>
        <v>14720.800000000003</v>
      </c>
      <c r="C96" s="22">
        <f t="shared" si="20"/>
        <v>18600.699999999997</v>
      </c>
      <c r="D96" s="22">
        <f t="shared" si="20"/>
        <v>0.4</v>
      </c>
      <c r="E96" s="22">
        <f t="shared" si="20"/>
        <v>1133.3999999999999</v>
      </c>
      <c r="F96" s="22">
        <f t="shared" si="20"/>
        <v>3238.9000000000005</v>
      </c>
      <c r="G96" s="22">
        <f t="shared" si="20"/>
        <v>2417.8999999999996</v>
      </c>
      <c r="H96" s="22">
        <f t="shared" si="20"/>
        <v>33</v>
      </c>
      <c r="I96" s="22">
        <f t="shared" si="20"/>
        <v>0</v>
      </c>
      <c r="J96" s="22">
        <f t="shared" si="20"/>
        <v>0</v>
      </c>
      <c r="K96" s="22">
        <f t="shared" si="20"/>
        <v>3463.9999999999995</v>
      </c>
      <c r="L96" s="22">
        <f t="shared" si="20"/>
        <v>0</v>
      </c>
      <c r="M96" s="22">
        <f t="shared" si="20"/>
        <v>143.2</v>
      </c>
      <c r="N96" s="22">
        <f t="shared" si="20"/>
        <v>1.4</v>
      </c>
      <c r="O96" s="22">
        <f t="shared" si="20"/>
        <v>439</v>
      </c>
      <c r="P96" s="22">
        <f t="shared" si="20"/>
        <v>2435.6999999999994</v>
      </c>
      <c r="Q96" s="22">
        <f t="shared" si="20"/>
        <v>767.5000000000001</v>
      </c>
      <c r="R96" s="22">
        <f t="shared" si="20"/>
        <v>2136.6</v>
      </c>
      <c r="S96" s="22">
        <f t="shared" si="20"/>
        <v>114.10000000000001</v>
      </c>
      <c r="T96" s="22">
        <f t="shared" si="20"/>
        <v>807.0999999999999</v>
      </c>
      <c r="U96" s="22">
        <f t="shared" si="20"/>
        <v>950.7</v>
      </c>
      <c r="V96" s="22">
        <f t="shared" si="20"/>
        <v>2251.7</v>
      </c>
      <c r="W96" s="22">
        <f t="shared" si="20"/>
        <v>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20336.4</v>
      </c>
      <c r="AG96" s="27">
        <f>B96+C96-AF96</f>
        <v>12985.099999999999</v>
      </c>
    </row>
    <row r="97" spans="1:33" ht="15.75">
      <c r="A97" s="3" t="s">
        <v>3</v>
      </c>
      <c r="B97" s="22">
        <f aca="true" t="shared" si="21" ref="B97:AA97">B18+B27+B42+B64+B78</f>
        <v>18.7</v>
      </c>
      <c r="C97" s="22">
        <f t="shared" si="21"/>
        <v>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2.5</v>
      </c>
      <c r="L97" s="22">
        <f t="shared" si="21"/>
        <v>0</v>
      </c>
      <c r="M97" s="22">
        <f t="shared" si="21"/>
        <v>0</v>
      </c>
      <c r="N97" s="22">
        <f t="shared" si="21"/>
        <v>4.3</v>
      </c>
      <c r="O97" s="22">
        <f t="shared" si="21"/>
        <v>3.3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7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17.1</v>
      </c>
      <c r="AG97" s="27">
        <f>B97+C97-AF97</f>
        <v>7.599999999999998</v>
      </c>
    </row>
    <row r="98" spans="1:33" ht="15.75">
      <c r="A98" s="3" t="s">
        <v>1</v>
      </c>
      <c r="B98" s="22">
        <f aca="true" t="shared" si="22" ref="B98:AD98">B19+B28+B65+B35+B43+B56+B79</f>
        <v>3382.7999999999997</v>
      </c>
      <c r="C98" s="22">
        <f t="shared" si="22"/>
        <v>1134.5</v>
      </c>
      <c r="D98" s="22">
        <f t="shared" si="22"/>
        <v>4.5</v>
      </c>
      <c r="E98" s="22">
        <f t="shared" si="22"/>
        <v>0</v>
      </c>
      <c r="F98" s="22">
        <f t="shared" si="22"/>
        <v>327.40000000000003</v>
      </c>
      <c r="G98" s="22">
        <f t="shared" si="22"/>
        <v>702.1</v>
      </c>
      <c r="H98" s="22">
        <f t="shared" si="22"/>
        <v>40.7</v>
      </c>
      <c r="I98" s="22">
        <f t="shared" si="22"/>
        <v>413.5</v>
      </c>
      <c r="J98" s="22">
        <f t="shared" si="22"/>
        <v>0</v>
      </c>
      <c r="K98" s="22">
        <f t="shared" si="22"/>
        <v>215.1</v>
      </c>
      <c r="L98" s="22">
        <f t="shared" si="22"/>
        <v>0</v>
      </c>
      <c r="M98" s="22">
        <f t="shared" si="22"/>
        <v>14.5</v>
      </c>
      <c r="N98" s="22">
        <f t="shared" si="22"/>
        <v>138.6</v>
      </c>
      <c r="O98" s="22">
        <f t="shared" si="22"/>
        <v>1.1</v>
      </c>
      <c r="P98" s="22">
        <f t="shared" si="22"/>
        <v>465.4</v>
      </c>
      <c r="Q98" s="22">
        <f t="shared" si="22"/>
        <v>2.5</v>
      </c>
      <c r="R98" s="22">
        <f t="shared" si="22"/>
        <v>46.3</v>
      </c>
      <c r="S98" s="22">
        <f t="shared" si="22"/>
        <v>0</v>
      </c>
      <c r="T98" s="22">
        <f t="shared" si="22"/>
        <v>97.2</v>
      </c>
      <c r="U98" s="22">
        <f t="shared" si="22"/>
        <v>443.5</v>
      </c>
      <c r="V98" s="22">
        <f t="shared" si="22"/>
        <v>320.5</v>
      </c>
      <c r="W98" s="22">
        <f t="shared" si="22"/>
        <v>132.20000000000002</v>
      </c>
      <c r="X98" s="22">
        <f t="shared" si="22"/>
        <v>1.4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3366.4999999999995</v>
      </c>
      <c r="AG98" s="27">
        <f>B98+C98-AF98</f>
        <v>1150.7999999999997</v>
      </c>
    </row>
    <row r="99" spans="1:33" ht="15.75">
      <c r="A99" s="3" t="s">
        <v>16</v>
      </c>
      <c r="B99" s="22">
        <f aca="true" t="shared" si="23" ref="B99:X99">B21+B30+B49+B37+B58+B13+B75+B67</f>
        <v>2352.8999999999996</v>
      </c>
      <c r="C99" s="22">
        <f t="shared" si="23"/>
        <v>1181.4</v>
      </c>
      <c r="D99" s="22">
        <f t="shared" si="23"/>
        <v>0</v>
      </c>
      <c r="E99" s="22">
        <f t="shared" si="23"/>
        <v>51.6</v>
      </c>
      <c r="F99" s="22">
        <f t="shared" si="23"/>
        <v>0</v>
      </c>
      <c r="G99" s="22">
        <f t="shared" si="23"/>
        <v>113.10000000000001</v>
      </c>
      <c r="H99" s="22">
        <f t="shared" si="23"/>
        <v>69.9</v>
      </c>
      <c r="I99" s="22">
        <f t="shared" si="23"/>
        <v>0</v>
      </c>
      <c r="J99" s="22">
        <f t="shared" si="23"/>
        <v>0</v>
      </c>
      <c r="K99" s="22">
        <f t="shared" si="23"/>
        <v>134.8</v>
      </c>
      <c r="L99" s="22">
        <f t="shared" si="23"/>
        <v>0</v>
      </c>
      <c r="M99" s="22">
        <f t="shared" si="23"/>
        <v>9</v>
      </c>
      <c r="N99" s="22">
        <f t="shared" si="23"/>
        <v>198.9</v>
      </c>
      <c r="O99" s="22">
        <f t="shared" si="23"/>
        <v>474.7</v>
      </c>
      <c r="P99" s="22">
        <f t="shared" si="23"/>
        <v>0</v>
      </c>
      <c r="Q99" s="22">
        <f t="shared" si="23"/>
        <v>164.8</v>
      </c>
      <c r="R99" s="22">
        <f t="shared" si="23"/>
        <v>143.3</v>
      </c>
      <c r="S99" s="22">
        <f t="shared" si="23"/>
        <v>0</v>
      </c>
      <c r="T99" s="22">
        <f t="shared" si="23"/>
        <v>175.1</v>
      </c>
      <c r="U99" s="22">
        <f t="shared" si="23"/>
        <v>535.6999999999999</v>
      </c>
      <c r="V99" s="22">
        <f t="shared" si="23"/>
        <v>393.8</v>
      </c>
      <c r="W99" s="22">
        <f t="shared" si="23"/>
        <v>24.9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2489.6</v>
      </c>
      <c r="AG99" s="27">
        <f>B99+C99-AF99</f>
        <v>1044.6999999999998</v>
      </c>
    </row>
    <row r="100" spans="1:33" ht="12.75">
      <c r="A100" s="1" t="s">
        <v>35</v>
      </c>
      <c r="B100" s="2">
        <f aca="true" t="shared" si="25" ref="B100:AD100">B94-B95-B96-B97-B98-B99</f>
        <v>83617.00000000001</v>
      </c>
      <c r="C100" s="2">
        <f t="shared" si="25"/>
        <v>21669.20000000002</v>
      </c>
      <c r="D100" s="2">
        <f t="shared" si="25"/>
        <v>3</v>
      </c>
      <c r="E100" s="2">
        <f t="shared" si="25"/>
        <v>3491.2000000000003</v>
      </c>
      <c r="F100" s="2">
        <f t="shared" si="25"/>
        <v>771.599999999999</v>
      </c>
      <c r="G100" s="2">
        <f t="shared" si="25"/>
        <v>757.9000000000008</v>
      </c>
      <c r="H100" s="2">
        <f t="shared" si="25"/>
        <v>1749.3</v>
      </c>
      <c r="I100" s="2">
        <f t="shared" si="25"/>
        <v>6441</v>
      </c>
      <c r="J100" s="2">
        <f t="shared" si="25"/>
        <v>1309.1</v>
      </c>
      <c r="K100" s="2">
        <f t="shared" si="25"/>
        <v>13244.900000000003</v>
      </c>
      <c r="L100" s="2">
        <f t="shared" si="25"/>
        <v>518.0999999999995</v>
      </c>
      <c r="M100" s="2">
        <f t="shared" si="25"/>
        <v>340.8</v>
      </c>
      <c r="N100" s="2">
        <f t="shared" si="25"/>
        <v>303.00000000000034</v>
      </c>
      <c r="O100" s="2">
        <f t="shared" si="25"/>
        <v>3093.7</v>
      </c>
      <c r="P100" s="2">
        <f t="shared" si="25"/>
        <v>5073.800000000001</v>
      </c>
      <c r="Q100" s="2">
        <f t="shared" si="25"/>
        <v>2027.9000000000008</v>
      </c>
      <c r="R100" s="2">
        <f t="shared" si="25"/>
        <v>480.2000000000002</v>
      </c>
      <c r="S100" s="2">
        <f t="shared" si="25"/>
        <v>4753.299999999999</v>
      </c>
      <c r="T100" s="2">
        <f t="shared" si="25"/>
        <v>3543.300000000001</v>
      </c>
      <c r="U100" s="2">
        <f t="shared" si="25"/>
        <v>15217.19999999999</v>
      </c>
      <c r="V100" s="2">
        <f t="shared" si="25"/>
        <v>1749.2999999999986</v>
      </c>
      <c r="W100" s="2">
        <f t="shared" si="25"/>
        <v>2064.4999999999995</v>
      </c>
      <c r="X100" s="2">
        <f t="shared" si="25"/>
        <v>7524.599999999999</v>
      </c>
      <c r="Y100" s="2">
        <f t="shared" si="25"/>
        <v>2207.1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76664.79999999999</v>
      </c>
      <c r="AG100" s="2">
        <f>AG94-AG95-AG96-AG97-AG98-AG99</f>
        <v>28621.4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T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57" sqref="AK5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57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58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/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38593.2</v>
      </c>
      <c r="C7" s="72">
        <v>14988.6</v>
      </c>
      <c r="D7" s="45"/>
      <c r="E7" s="46">
        <v>19296.6</v>
      </c>
      <c r="F7" s="46"/>
      <c r="G7" s="46"/>
      <c r="H7" s="74"/>
      <c r="I7" s="46"/>
      <c r="J7" s="47"/>
      <c r="K7" s="46">
        <f>9368.4+9928.2</f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16178.9</v>
      </c>
      <c r="AF7" s="72"/>
      <c r="AG7" s="48"/>
    </row>
    <row r="8" spans="1:55" ht="18" customHeight="1">
      <c r="A8" s="60" t="s">
        <v>30</v>
      </c>
      <c r="B8" s="40">
        <f>SUM(D8:AB8)</f>
        <v>103223.29999999999</v>
      </c>
      <c r="C8" s="40">
        <v>62407.4</v>
      </c>
      <c r="D8" s="43">
        <f>4487.3</f>
        <v>4487.3</v>
      </c>
      <c r="E8" s="55">
        <v>4693</v>
      </c>
      <c r="F8" s="55">
        <v>3885</v>
      </c>
      <c r="G8" s="55">
        <v>3102.4</v>
      </c>
      <c r="H8" s="55">
        <v>6541.5</v>
      </c>
      <c r="I8" s="55">
        <v>9251.7</v>
      </c>
      <c r="J8" s="56">
        <v>3180.9</v>
      </c>
      <c r="K8" s="55">
        <v>2615.2</v>
      </c>
      <c r="L8" s="55">
        <v>2642.8</v>
      </c>
      <c r="M8" s="55">
        <v>6394.8</v>
      </c>
      <c r="N8" s="55">
        <v>7028.3</v>
      </c>
      <c r="O8" s="55">
        <v>3928.9</v>
      </c>
      <c r="P8" s="55">
        <v>5684.8</v>
      </c>
      <c r="Q8" s="55">
        <v>6365.2</v>
      </c>
      <c r="R8" s="55">
        <v>6267.3</v>
      </c>
      <c r="S8" s="57">
        <v>3415.2</v>
      </c>
      <c r="T8" s="57">
        <v>4407.9</v>
      </c>
      <c r="U8" s="55">
        <v>6064.2</v>
      </c>
      <c r="V8" s="55">
        <v>13266.9</v>
      </c>
      <c r="W8" s="55"/>
      <c r="X8" s="56"/>
      <c r="Y8" s="56"/>
      <c r="Z8" s="56"/>
      <c r="AA8" s="56"/>
      <c r="AB8" s="55"/>
      <c r="AC8" s="23"/>
      <c r="AD8" s="23"/>
      <c r="AE8" s="61">
        <v>62408.3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149186.89999999997</v>
      </c>
      <c r="C9" s="24">
        <f t="shared" si="0"/>
        <v>67198.9</v>
      </c>
      <c r="D9" s="24">
        <f t="shared" si="0"/>
        <v>3280.2999999999997</v>
      </c>
      <c r="E9" s="24">
        <f t="shared" si="0"/>
        <v>4693</v>
      </c>
      <c r="F9" s="24">
        <f t="shared" si="0"/>
        <v>3885</v>
      </c>
      <c r="G9" s="24">
        <f t="shared" si="0"/>
        <v>3102.4</v>
      </c>
      <c r="H9" s="24">
        <f t="shared" si="0"/>
        <v>5101.3</v>
      </c>
      <c r="I9" s="24">
        <f t="shared" si="0"/>
        <v>9570.8</v>
      </c>
      <c r="J9" s="24">
        <f t="shared" si="0"/>
        <v>12267.900000000001</v>
      </c>
      <c r="K9" s="24">
        <f t="shared" si="0"/>
        <v>24977.099999999995</v>
      </c>
      <c r="L9" s="24">
        <f t="shared" si="0"/>
        <v>2304.6000000000004</v>
      </c>
      <c r="M9" s="24">
        <f t="shared" si="0"/>
        <v>3236.4999999999995</v>
      </c>
      <c r="N9" s="24">
        <f t="shared" si="0"/>
        <v>20.6</v>
      </c>
      <c r="O9" s="24">
        <f t="shared" si="0"/>
        <v>2033.4</v>
      </c>
      <c r="P9" s="24">
        <f t="shared" si="0"/>
        <v>5684.799999999999</v>
      </c>
      <c r="Q9" s="24">
        <f t="shared" si="0"/>
        <v>5433.4</v>
      </c>
      <c r="R9" s="24">
        <f t="shared" si="0"/>
        <v>3053.8999999999996</v>
      </c>
      <c r="S9" s="24">
        <f t="shared" si="0"/>
        <v>25895.699999999997</v>
      </c>
      <c r="T9" s="24">
        <f t="shared" si="0"/>
        <v>20720.7</v>
      </c>
      <c r="U9" s="24">
        <f t="shared" si="0"/>
        <v>3922.3</v>
      </c>
      <c r="V9" s="24">
        <f t="shared" si="0"/>
        <v>1441.6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140625.3</v>
      </c>
      <c r="AG9" s="50">
        <f>AG10+AG15+AG24+AG33+AG47+AG52+AG54+AG61+AG62+AG71+AG72+AG76+AG88+AG81+AG83+AG82+AG69+AG89+AG91+AG90+AG70+AG40+AG92</f>
        <v>75760.49999999999</v>
      </c>
      <c r="AH9" s="49"/>
      <c r="AI9" s="49"/>
    </row>
    <row r="10" spans="1:33" ht="15.75">
      <c r="A10" s="4" t="s">
        <v>4</v>
      </c>
      <c r="B10" s="22">
        <f>13342.1-400+265.1</f>
        <v>13207.2</v>
      </c>
      <c r="C10" s="22">
        <v>20020.1</v>
      </c>
      <c r="D10" s="22">
        <v>1.6</v>
      </c>
      <c r="E10" s="22">
        <v>115.2</v>
      </c>
      <c r="F10" s="22">
        <v>57.4</v>
      </c>
      <c r="G10" s="22">
        <v>81.5</v>
      </c>
      <c r="H10" s="22">
        <v>104.1</v>
      </c>
      <c r="I10" s="22">
        <v>13.4</v>
      </c>
      <c r="J10" s="25">
        <v>469.2</v>
      </c>
      <c r="K10" s="22">
        <v>2448.2</v>
      </c>
      <c r="L10" s="22">
        <v>10.2</v>
      </c>
      <c r="M10" s="22">
        <v>19.3</v>
      </c>
      <c r="N10" s="22">
        <v>11.7</v>
      </c>
      <c r="O10" s="27">
        <v>43.2</v>
      </c>
      <c r="P10" s="22">
        <v>14.5</v>
      </c>
      <c r="Q10" s="22">
        <v>11.6</v>
      </c>
      <c r="R10" s="22">
        <v>13.1</v>
      </c>
      <c r="S10" s="26">
        <v>36.9</v>
      </c>
      <c r="T10" s="26">
        <v>2714.6</v>
      </c>
      <c r="U10" s="26">
        <v>1411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7576.699999999999</v>
      </c>
      <c r="AG10" s="27">
        <f>B10+C10-AF10</f>
        <v>25650.600000000006</v>
      </c>
    </row>
    <row r="11" spans="1:33" ht="15.75">
      <c r="A11" s="3" t="s">
        <v>5</v>
      </c>
      <c r="B11" s="22">
        <f>12399.4+67.7-1.2-6.4-400-10.6-137.7-228.3-135.4</f>
        <v>11547.5</v>
      </c>
      <c r="C11" s="22">
        <v>18658.6</v>
      </c>
      <c r="D11" s="22"/>
      <c r="E11" s="22">
        <v>29.5</v>
      </c>
      <c r="F11" s="22">
        <v>22.6</v>
      </c>
      <c r="G11" s="22">
        <v>10.8</v>
      </c>
      <c r="H11" s="22"/>
      <c r="I11" s="22"/>
      <c r="J11" s="26">
        <v>458.4</v>
      </c>
      <c r="K11" s="22">
        <v>2420.6</v>
      </c>
      <c r="L11" s="22"/>
      <c r="M11" s="22">
        <v>2.5</v>
      </c>
      <c r="N11" s="22"/>
      <c r="O11" s="27"/>
      <c r="P11" s="22"/>
      <c r="Q11" s="22"/>
      <c r="R11" s="22"/>
      <c r="S11" s="26"/>
      <c r="T11" s="26">
        <v>2587.3</v>
      </c>
      <c r="U11" s="26">
        <v>1345.3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6877</v>
      </c>
      <c r="AG11" s="27">
        <f>B11+C11-AF11</f>
        <v>23329.1</v>
      </c>
    </row>
    <row r="12" spans="1:33" ht="15.75">
      <c r="A12" s="3" t="s">
        <v>2</v>
      </c>
      <c r="B12" s="36">
        <f>294.2-0.9</f>
        <v>293.3</v>
      </c>
      <c r="C12" s="22">
        <v>217.8</v>
      </c>
      <c r="D12" s="22"/>
      <c r="E12" s="22"/>
      <c r="F12" s="22"/>
      <c r="G12" s="22">
        <v>2.4</v>
      </c>
      <c r="H12" s="22">
        <v>3.1</v>
      </c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>
        <v>83.6</v>
      </c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89.1</v>
      </c>
      <c r="AG12" s="27">
        <f>B12+C12-AF12</f>
        <v>422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1366.4000000000008</v>
      </c>
      <c r="C14" s="22">
        <f t="shared" si="2"/>
        <v>1143.7</v>
      </c>
      <c r="D14" s="22">
        <f t="shared" si="2"/>
        <v>1.6</v>
      </c>
      <c r="E14" s="22">
        <f t="shared" si="2"/>
        <v>85.7</v>
      </c>
      <c r="F14" s="22">
        <f t="shared" si="2"/>
        <v>34.8</v>
      </c>
      <c r="G14" s="22">
        <f t="shared" si="2"/>
        <v>68.3</v>
      </c>
      <c r="H14" s="22">
        <f t="shared" si="2"/>
        <v>101</v>
      </c>
      <c r="I14" s="22">
        <f t="shared" si="2"/>
        <v>13.4</v>
      </c>
      <c r="J14" s="22">
        <f t="shared" si="2"/>
        <v>10.800000000000011</v>
      </c>
      <c r="K14" s="22">
        <f t="shared" si="2"/>
        <v>27.59999999999991</v>
      </c>
      <c r="L14" s="22">
        <f t="shared" si="2"/>
        <v>10.2</v>
      </c>
      <c r="M14" s="22">
        <f t="shared" si="2"/>
        <v>16.8</v>
      </c>
      <c r="N14" s="22">
        <f t="shared" si="2"/>
        <v>11.7</v>
      </c>
      <c r="O14" s="22">
        <f t="shared" si="2"/>
        <v>43.2</v>
      </c>
      <c r="P14" s="22">
        <f t="shared" si="2"/>
        <v>14.5</v>
      </c>
      <c r="Q14" s="22">
        <f t="shared" si="2"/>
        <v>11.6</v>
      </c>
      <c r="R14" s="22">
        <f t="shared" si="2"/>
        <v>13.1</v>
      </c>
      <c r="S14" s="22">
        <f t="shared" si="2"/>
        <v>36.9</v>
      </c>
      <c r="T14" s="22">
        <f t="shared" si="2"/>
        <v>43.69999999999973</v>
      </c>
      <c r="U14" s="22">
        <f t="shared" si="2"/>
        <v>65.70000000000005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610.5999999999997</v>
      </c>
      <c r="AG14" s="27">
        <f>AG10-AG11-AG12-AG13</f>
        <v>1899.5000000000073</v>
      </c>
    </row>
    <row r="15" spans="1:33" ht="15" customHeight="1">
      <c r="A15" s="4" t="s">
        <v>6</v>
      </c>
      <c r="B15" s="22">
        <f>48588.5+1902.7</f>
        <v>50491.2</v>
      </c>
      <c r="C15" s="22">
        <v>18209</v>
      </c>
      <c r="D15" s="44">
        <v>2656.1</v>
      </c>
      <c r="E15" s="44"/>
      <c r="F15" s="22">
        <v>417.8</v>
      </c>
      <c r="G15" s="22">
        <v>15.6</v>
      </c>
      <c r="H15" s="22">
        <v>508.1</v>
      </c>
      <c r="I15" s="22">
        <v>4161.5</v>
      </c>
      <c r="J15" s="26">
        <v>10062.1</v>
      </c>
      <c r="K15" s="22">
        <v>8571.6</v>
      </c>
      <c r="L15" s="22">
        <v>148.7</v>
      </c>
      <c r="M15" s="22">
        <v>636.7</v>
      </c>
      <c r="N15" s="22"/>
      <c r="O15" s="27">
        <v>56</v>
      </c>
      <c r="P15" s="22">
        <v>784.8</v>
      </c>
      <c r="Q15" s="27">
        <v>595</v>
      </c>
      <c r="R15" s="22">
        <v>869.5</v>
      </c>
      <c r="S15" s="26">
        <v>10293.3</v>
      </c>
      <c r="T15" s="26">
        <v>13742.9</v>
      </c>
      <c r="U15" s="26">
        <v>140.3</v>
      </c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53660.00000000001</v>
      </c>
      <c r="AG15" s="27">
        <f aca="true" t="shared" si="3" ref="AG15:AG31">B15+C15-AF15</f>
        <v>15040.19999999999</v>
      </c>
    </row>
    <row r="16" spans="1:34" s="70" customFormat="1" ht="15" customHeight="1">
      <c r="A16" s="65" t="s">
        <v>38</v>
      </c>
      <c r="B16" s="66">
        <f>18736.8+20-0.1</f>
        <v>18756.7</v>
      </c>
      <c r="C16" s="66">
        <v>2886.4</v>
      </c>
      <c r="D16" s="67"/>
      <c r="E16" s="67"/>
      <c r="F16" s="66"/>
      <c r="G16" s="66"/>
      <c r="H16" s="66"/>
      <c r="I16" s="66"/>
      <c r="J16" s="68">
        <v>7942.1</v>
      </c>
      <c r="K16" s="66"/>
      <c r="L16" s="66"/>
      <c r="M16" s="66"/>
      <c r="N16" s="66"/>
      <c r="O16" s="69"/>
      <c r="P16" s="66"/>
      <c r="Q16" s="69"/>
      <c r="R16" s="66"/>
      <c r="S16" s="68">
        <v>9848.6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17790.7</v>
      </c>
      <c r="AG16" s="71">
        <f t="shared" si="3"/>
        <v>3852.4000000000015</v>
      </c>
      <c r="AH16" s="75"/>
    </row>
    <row r="17" spans="1:34" ht="15.75">
      <c r="A17" s="3" t="s">
        <v>5</v>
      </c>
      <c r="B17" s="22">
        <f>35683.9+2656.2+700+2039.6</f>
        <v>41079.7</v>
      </c>
      <c r="C17" s="22">
        <v>4665.3</v>
      </c>
      <c r="D17" s="22">
        <v>2656.1</v>
      </c>
      <c r="E17" s="22"/>
      <c r="F17" s="22"/>
      <c r="G17" s="22">
        <v>15.6</v>
      </c>
      <c r="H17" s="22"/>
      <c r="I17" s="22"/>
      <c r="J17" s="26">
        <v>10047</v>
      </c>
      <c r="K17" s="22">
        <v>6403</v>
      </c>
      <c r="L17" s="22"/>
      <c r="M17" s="22"/>
      <c r="N17" s="22"/>
      <c r="O17" s="27"/>
      <c r="P17" s="22"/>
      <c r="Q17" s="27"/>
      <c r="R17" s="22"/>
      <c r="S17" s="26">
        <v>9848.6</v>
      </c>
      <c r="T17" s="26">
        <v>12369.9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41340.200000000004</v>
      </c>
      <c r="AG17" s="27">
        <f t="shared" si="3"/>
        <v>4404.799999999996</v>
      </c>
      <c r="AH17" s="6"/>
    </row>
    <row r="18" spans="1:33" ht="15.75">
      <c r="A18" s="3" t="s">
        <v>3</v>
      </c>
      <c r="B18" s="22">
        <v>14</v>
      </c>
      <c r="C18" s="22">
        <v>6.8</v>
      </c>
      <c r="D18" s="22"/>
      <c r="E18" s="22"/>
      <c r="F18" s="22"/>
      <c r="G18" s="22"/>
      <c r="H18" s="22"/>
      <c r="I18" s="22">
        <v>0.4</v>
      </c>
      <c r="J18" s="26"/>
      <c r="K18" s="22"/>
      <c r="L18" s="22"/>
      <c r="M18" s="22"/>
      <c r="N18" s="22"/>
      <c r="O18" s="27"/>
      <c r="P18" s="22">
        <v>1.3</v>
      </c>
      <c r="Q18" s="27"/>
      <c r="R18" s="22">
        <v>1.6</v>
      </c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3.3000000000000003</v>
      </c>
      <c r="AG18" s="27">
        <f t="shared" si="3"/>
        <v>17.5</v>
      </c>
    </row>
    <row r="19" spans="1:33" ht="15.75">
      <c r="A19" s="3" t="s">
        <v>1</v>
      </c>
      <c r="B19" s="22">
        <f>2976.8+731.5</f>
        <v>3708.3</v>
      </c>
      <c r="C19" s="22">
        <v>1062.7</v>
      </c>
      <c r="D19" s="22"/>
      <c r="E19" s="22"/>
      <c r="F19" s="22">
        <v>414.9</v>
      </c>
      <c r="G19" s="22"/>
      <c r="H19" s="22">
        <v>354.8</v>
      </c>
      <c r="I19" s="22">
        <v>710.5</v>
      </c>
      <c r="J19" s="26">
        <v>15.1</v>
      </c>
      <c r="K19" s="22">
        <v>69.4</v>
      </c>
      <c r="L19" s="22">
        <v>70.2</v>
      </c>
      <c r="M19" s="22">
        <v>27.7</v>
      </c>
      <c r="N19" s="22"/>
      <c r="O19" s="27">
        <v>56</v>
      </c>
      <c r="P19" s="22"/>
      <c r="Q19" s="27">
        <v>270</v>
      </c>
      <c r="R19" s="22">
        <v>285.7</v>
      </c>
      <c r="S19" s="26">
        <v>197.8</v>
      </c>
      <c r="T19" s="26">
        <v>280.3</v>
      </c>
      <c r="U19" s="26">
        <v>27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2779.4000000000005</v>
      </c>
      <c r="AG19" s="27">
        <f t="shared" si="3"/>
        <v>1991.5999999999995</v>
      </c>
    </row>
    <row r="20" spans="1:33" ht="15.75">
      <c r="A20" s="3" t="s">
        <v>2</v>
      </c>
      <c r="B20" s="22">
        <f>6166.5-2656.2-700-731.4</f>
        <v>2078.9</v>
      </c>
      <c r="C20" s="22">
        <v>10652.3</v>
      </c>
      <c r="D20" s="22"/>
      <c r="E20" s="22"/>
      <c r="F20" s="22"/>
      <c r="G20" s="22"/>
      <c r="H20" s="22">
        <v>125.5</v>
      </c>
      <c r="I20" s="22">
        <v>3192.3</v>
      </c>
      <c r="J20" s="26"/>
      <c r="K20" s="22">
        <v>1926.4</v>
      </c>
      <c r="L20" s="22"/>
      <c r="M20" s="22">
        <v>62.4</v>
      </c>
      <c r="N20" s="22"/>
      <c r="O20" s="27"/>
      <c r="P20" s="22">
        <v>643.2</v>
      </c>
      <c r="Q20" s="27">
        <v>81.8</v>
      </c>
      <c r="R20" s="22">
        <v>374</v>
      </c>
      <c r="S20" s="26">
        <v>224.4</v>
      </c>
      <c r="T20" s="26">
        <v>1074.6</v>
      </c>
      <c r="U20" s="26">
        <v>1.3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7705.900000000001</v>
      </c>
      <c r="AG20" s="27">
        <f t="shared" si="3"/>
        <v>5025.299999999998</v>
      </c>
    </row>
    <row r="21" spans="1:33" ht="15.75">
      <c r="A21" s="3" t="s">
        <v>16</v>
      </c>
      <c r="B21" s="22">
        <v>1109.5</v>
      </c>
      <c r="C21" s="22">
        <v>306</v>
      </c>
      <c r="D21" s="22"/>
      <c r="E21" s="22"/>
      <c r="F21" s="22"/>
      <c r="G21" s="22"/>
      <c r="H21" s="22">
        <v>3.6</v>
      </c>
      <c r="I21" s="22">
        <v>1.2</v>
      </c>
      <c r="J21" s="26"/>
      <c r="K21" s="22">
        <v>150.2</v>
      </c>
      <c r="L21" s="22">
        <v>3.6</v>
      </c>
      <c r="M21" s="22">
        <v>534.8</v>
      </c>
      <c r="N21" s="22"/>
      <c r="O21" s="27"/>
      <c r="P21" s="22"/>
      <c r="Q21" s="27">
        <v>237.6</v>
      </c>
      <c r="R21" s="22"/>
      <c r="S21" s="26"/>
      <c r="T21" s="26"/>
      <c r="U21" s="22">
        <v>35.2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966.2</v>
      </c>
      <c r="AG21" s="27">
        <f t="shared" si="3"/>
        <v>449.29999999999995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2500.7999999999997</v>
      </c>
      <c r="C23" s="22">
        <f t="shared" si="4"/>
        <v>1515.9000000000015</v>
      </c>
      <c r="D23" s="22">
        <f t="shared" si="4"/>
        <v>0</v>
      </c>
      <c r="E23" s="22">
        <f t="shared" si="4"/>
        <v>0</v>
      </c>
      <c r="F23" s="22">
        <f t="shared" si="4"/>
        <v>2.900000000000034</v>
      </c>
      <c r="G23" s="22">
        <f t="shared" si="4"/>
        <v>0</v>
      </c>
      <c r="H23" s="22">
        <f t="shared" si="4"/>
        <v>24.20000000000001</v>
      </c>
      <c r="I23" s="22">
        <f t="shared" si="4"/>
        <v>257.1000000000002</v>
      </c>
      <c r="J23" s="22">
        <f t="shared" si="4"/>
        <v>3.6415315207705135E-13</v>
      </c>
      <c r="K23" s="22">
        <f t="shared" si="4"/>
        <v>22.600000000000193</v>
      </c>
      <c r="L23" s="22">
        <f t="shared" si="4"/>
        <v>74.89999999999999</v>
      </c>
      <c r="M23" s="22">
        <f t="shared" si="4"/>
        <v>11.800000000000068</v>
      </c>
      <c r="N23" s="22">
        <f t="shared" si="4"/>
        <v>0</v>
      </c>
      <c r="O23" s="22">
        <f t="shared" si="4"/>
        <v>0</v>
      </c>
      <c r="P23" s="22">
        <f t="shared" si="4"/>
        <v>140.29999999999995</v>
      </c>
      <c r="Q23" s="22">
        <f t="shared" si="4"/>
        <v>5.599999999999994</v>
      </c>
      <c r="R23" s="22">
        <f t="shared" si="4"/>
        <v>208.20000000000005</v>
      </c>
      <c r="S23" s="22">
        <f t="shared" si="4"/>
        <v>22.49999999999889</v>
      </c>
      <c r="T23" s="22">
        <f t="shared" si="4"/>
        <v>18.100000000000136</v>
      </c>
      <c r="U23" s="22">
        <f t="shared" si="4"/>
        <v>76.80000000000001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864.9999999999998</v>
      </c>
      <c r="AG23" s="27">
        <f t="shared" si="3"/>
        <v>3151.7000000000016</v>
      </c>
    </row>
    <row r="24" spans="1:33" ht="15" customHeight="1">
      <c r="A24" s="4" t="s">
        <v>7</v>
      </c>
      <c r="B24" s="22">
        <f>38533+870.4</f>
        <v>39403.4</v>
      </c>
      <c r="C24" s="22">
        <v>10294.1</v>
      </c>
      <c r="D24" s="22"/>
      <c r="E24" s="22"/>
      <c r="F24" s="22"/>
      <c r="G24" s="22"/>
      <c r="H24" s="22">
        <v>3469.9</v>
      </c>
      <c r="I24" s="22">
        <v>24.5</v>
      </c>
      <c r="J24" s="26"/>
      <c r="K24" s="22">
        <v>9514.8</v>
      </c>
      <c r="L24" s="22"/>
      <c r="M24" s="22">
        <v>2039.4</v>
      </c>
      <c r="N24" s="22"/>
      <c r="O24" s="27"/>
      <c r="P24" s="22"/>
      <c r="Q24" s="27">
        <v>634</v>
      </c>
      <c r="R24" s="27">
        <v>1548</v>
      </c>
      <c r="S24" s="26">
        <v>13955</v>
      </c>
      <c r="T24" s="26">
        <v>0.1</v>
      </c>
      <c r="U24" s="26">
        <v>398.3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31583.999999999996</v>
      </c>
      <c r="AG24" s="27">
        <f t="shared" si="3"/>
        <v>18113.500000000004</v>
      </c>
    </row>
    <row r="25" spans="1:34" s="70" customFormat="1" ht="15" customHeight="1">
      <c r="A25" s="65" t="s">
        <v>39</v>
      </c>
      <c r="B25" s="66">
        <v>19856.3</v>
      </c>
      <c r="C25" s="66">
        <v>6282.1</v>
      </c>
      <c r="D25" s="66"/>
      <c r="E25" s="66"/>
      <c r="F25" s="66"/>
      <c r="G25" s="66"/>
      <c r="H25" s="66">
        <v>486.8</v>
      </c>
      <c r="I25" s="66"/>
      <c r="J25" s="68"/>
      <c r="K25" s="66">
        <v>9514.8</v>
      </c>
      <c r="L25" s="66"/>
      <c r="M25" s="66">
        <v>831.1</v>
      </c>
      <c r="N25" s="66"/>
      <c r="O25" s="69"/>
      <c r="P25" s="66"/>
      <c r="Q25" s="69"/>
      <c r="R25" s="69">
        <v>1390.3</v>
      </c>
      <c r="S25" s="68">
        <v>7339.1</v>
      </c>
      <c r="T25" s="68"/>
      <c r="U25" s="68">
        <v>50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19612.1</v>
      </c>
      <c r="AG25" s="71">
        <f t="shared" si="3"/>
        <v>6526.300000000003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39403.4</v>
      </c>
      <c r="C32" s="22">
        <f t="shared" si="5"/>
        <v>10294.1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3469.9</v>
      </c>
      <c r="I32" s="22">
        <f t="shared" si="5"/>
        <v>24.5</v>
      </c>
      <c r="J32" s="22">
        <f t="shared" si="5"/>
        <v>0</v>
      </c>
      <c r="K32" s="22">
        <f t="shared" si="5"/>
        <v>9514.8</v>
      </c>
      <c r="L32" s="22">
        <f t="shared" si="5"/>
        <v>0</v>
      </c>
      <c r="M32" s="22">
        <f t="shared" si="5"/>
        <v>2039.4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634</v>
      </c>
      <c r="R32" s="22">
        <f t="shared" si="5"/>
        <v>1548</v>
      </c>
      <c r="S32" s="22">
        <f t="shared" si="5"/>
        <v>13955</v>
      </c>
      <c r="T32" s="22">
        <f t="shared" si="5"/>
        <v>0.1</v>
      </c>
      <c r="U32" s="22">
        <f t="shared" si="5"/>
        <v>398.3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31583.999999999996</v>
      </c>
      <c r="AG32" s="27">
        <f>AG24</f>
        <v>18113.500000000004</v>
      </c>
    </row>
    <row r="33" spans="1:33" ht="15" customHeight="1">
      <c r="A33" s="4" t="s">
        <v>8</v>
      </c>
      <c r="B33" s="22">
        <v>258.1</v>
      </c>
      <c r="C33" s="22">
        <v>460.7</v>
      </c>
      <c r="D33" s="22"/>
      <c r="E33" s="22"/>
      <c r="F33" s="22"/>
      <c r="G33" s="22">
        <v>32.9</v>
      </c>
      <c r="H33" s="22"/>
      <c r="I33" s="22">
        <v>1.2</v>
      </c>
      <c r="J33" s="26">
        <v>79.7</v>
      </c>
      <c r="K33" s="22">
        <v>73.5</v>
      </c>
      <c r="L33" s="22"/>
      <c r="M33" s="22"/>
      <c r="N33" s="22"/>
      <c r="O33" s="27"/>
      <c r="P33" s="22"/>
      <c r="Q33" s="27">
        <v>4</v>
      </c>
      <c r="R33" s="22"/>
      <c r="S33" s="26"/>
      <c r="T33" s="26">
        <v>0.1</v>
      </c>
      <c r="U33" s="26">
        <v>78.7</v>
      </c>
      <c r="V33" s="26">
        <v>72.2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342.3</v>
      </c>
      <c r="AG33" s="27">
        <f aca="true" t="shared" si="6" ref="AG33:AG38">B33+C33-AF33</f>
        <v>376.49999999999994</v>
      </c>
    </row>
    <row r="34" spans="1:33" ht="15.75">
      <c r="A34" s="3" t="s">
        <v>5</v>
      </c>
      <c r="B34" s="22">
        <v>234.4</v>
      </c>
      <c r="C34" s="22">
        <v>105.6</v>
      </c>
      <c r="D34" s="22"/>
      <c r="E34" s="22"/>
      <c r="F34" s="22"/>
      <c r="G34" s="22"/>
      <c r="H34" s="22"/>
      <c r="I34" s="22"/>
      <c r="J34" s="26">
        <v>79.7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66.8</v>
      </c>
      <c r="V34" s="26">
        <v>72.2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218.7</v>
      </c>
      <c r="AG34" s="27">
        <f t="shared" si="6"/>
        <v>121.30000000000001</v>
      </c>
    </row>
    <row r="35" spans="1:33" ht="15.75">
      <c r="A35" s="3" t="s">
        <v>1</v>
      </c>
      <c r="B35" s="22">
        <v>6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>
        <v>3.2</v>
      </c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3.2</v>
      </c>
      <c r="AG35" s="27">
        <f t="shared" si="6"/>
        <v>2.8</v>
      </c>
    </row>
    <row r="36" spans="1:33" ht="15.75">
      <c r="A36" s="3" t="s">
        <v>2</v>
      </c>
      <c r="B36" s="44">
        <v>10.4</v>
      </c>
      <c r="C36" s="22">
        <v>146.4</v>
      </c>
      <c r="D36" s="22"/>
      <c r="E36" s="22"/>
      <c r="F36" s="22"/>
      <c r="G36" s="22">
        <v>32.9</v>
      </c>
      <c r="H36" s="22"/>
      <c r="I36" s="22">
        <v>0.7</v>
      </c>
      <c r="J36" s="26"/>
      <c r="K36" s="22">
        <v>67.5</v>
      </c>
      <c r="L36" s="22"/>
      <c r="M36" s="22"/>
      <c r="N36" s="22"/>
      <c r="O36" s="27"/>
      <c r="P36" s="22"/>
      <c r="Q36" s="27">
        <v>3.7</v>
      </c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104.8</v>
      </c>
      <c r="AG36" s="27">
        <f t="shared" si="6"/>
        <v>52.000000000000014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7.300000000000017</v>
      </c>
      <c r="C39" s="22">
        <f t="shared" si="7"/>
        <v>208.70000000000002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0.5</v>
      </c>
      <c r="J39" s="22">
        <f t="shared" si="7"/>
        <v>0</v>
      </c>
      <c r="K39" s="22">
        <f t="shared" si="7"/>
        <v>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0.2999999999999998</v>
      </c>
      <c r="R39" s="22">
        <f t="shared" si="7"/>
        <v>0</v>
      </c>
      <c r="S39" s="22">
        <f t="shared" si="7"/>
        <v>0</v>
      </c>
      <c r="T39" s="22">
        <f t="shared" si="7"/>
        <v>0.1</v>
      </c>
      <c r="U39" s="22">
        <f t="shared" si="7"/>
        <v>8.700000000000006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15.600000000000005</v>
      </c>
      <c r="AG39" s="27">
        <f>AG33-AG34-AG36-AG38-AG35-AG37</f>
        <v>200.39999999999992</v>
      </c>
    </row>
    <row r="40" spans="1:33" ht="15" customHeight="1">
      <c r="A40" s="4" t="s">
        <v>29</v>
      </c>
      <c r="B40" s="22">
        <v>994.9</v>
      </c>
      <c r="C40" s="22">
        <v>214.2</v>
      </c>
      <c r="D40" s="22"/>
      <c r="E40" s="22"/>
      <c r="F40" s="22"/>
      <c r="G40" s="22">
        <v>96.1</v>
      </c>
      <c r="H40" s="22"/>
      <c r="I40" s="22"/>
      <c r="J40" s="26">
        <v>326.4</v>
      </c>
      <c r="K40" s="22"/>
      <c r="L40" s="22"/>
      <c r="M40" s="22"/>
      <c r="N40" s="22"/>
      <c r="O40" s="27"/>
      <c r="P40" s="22"/>
      <c r="Q40" s="27"/>
      <c r="R40" s="27"/>
      <c r="S40" s="26">
        <v>4.1</v>
      </c>
      <c r="T40" s="26">
        <v>518.1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944.7</v>
      </c>
      <c r="AG40" s="27">
        <f aca="true" t="shared" si="8" ref="AG40:AG45">B40+C40-AF40</f>
        <v>264.39999999999986</v>
      </c>
    </row>
    <row r="41" spans="1:34" ht="15.75">
      <c r="A41" s="3" t="s">
        <v>5</v>
      </c>
      <c r="B41" s="22">
        <v>866.7</v>
      </c>
      <c r="C41" s="22">
        <v>77</v>
      </c>
      <c r="D41" s="22"/>
      <c r="E41" s="22"/>
      <c r="F41" s="22"/>
      <c r="G41" s="22"/>
      <c r="H41" s="22"/>
      <c r="I41" s="22"/>
      <c r="J41" s="26">
        <v>325.4</v>
      </c>
      <c r="K41" s="22"/>
      <c r="L41" s="22"/>
      <c r="M41" s="22"/>
      <c r="N41" s="22"/>
      <c r="O41" s="27"/>
      <c r="P41" s="22"/>
      <c r="Q41" s="22"/>
      <c r="R41" s="22"/>
      <c r="S41" s="26"/>
      <c r="T41" s="26">
        <v>510.8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836.2</v>
      </c>
      <c r="AG41" s="27">
        <f t="shared" si="8"/>
        <v>107.5</v>
      </c>
      <c r="AH41" s="6"/>
    </row>
    <row r="42" spans="1:33" ht="15.75">
      <c r="A42" s="3" t="s">
        <v>3</v>
      </c>
      <c r="B42" s="22">
        <v>0</v>
      </c>
      <c r="C42" s="22">
        <v>0.8</v>
      </c>
      <c r="D42" s="22"/>
      <c r="E42" s="22"/>
      <c r="F42" s="22"/>
      <c r="G42" s="22"/>
      <c r="H42" s="22"/>
      <c r="I42" s="22"/>
      <c r="J42" s="26">
        <v>0.4</v>
      </c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5.4</v>
      </c>
      <c r="D43" s="22"/>
      <c r="E43" s="22"/>
      <c r="F43" s="22"/>
      <c r="G43" s="22">
        <v>7.3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7.3</v>
      </c>
      <c r="AG43" s="27">
        <f t="shared" si="8"/>
        <v>6.1000000000000005</v>
      </c>
    </row>
    <row r="44" spans="1:33" ht="15.75">
      <c r="A44" s="3" t="s">
        <v>2</v>
      </c>
      <c r="B44" s="22">
        <v>93</v>
      </c>
      <c r="C44" s="22">
        <v>109</v>
      </c>
      <c r="D44" s="22"/>
      <c r="E44" s="22"/>
      <c r="F44" s="22"/>
      <c r="G44" s="22">
        <v>73.9</v>
      </c>
      <c r="H44" s="22"/>
      <c r="I44" s="22"/>
      <c r="J44" s="26">
        <v>0.4</v>
      </c>
      <c r="K44" s="22"/>
      <c r="L44" s="22"/>
      <c r="M44" s="22"/>
      <c r="N44" s="22"/>
      <c r="O44" s="27"/>
      <c r="P44" s="22"/>
      <c r="Q44" s="22"/>
      <c r="R44" s="22"/>
      <c r="S44" s="26">
        <v>4</v>
      </c>
      <c r="T44" s="26">
        <v>3.2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81.50000000000001</v>
      </c>
      <c r="AG44" s="27">
        <f t="shared" si="8"/>
        <v>120.49999999999999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27.199999999999932</v>
      </c>
      <c r="C46" s="22">
        <f t="shared" si="10"/>
        <v>21.99999999999997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14.899999999999991</v>
      </c>
      <c r="H46" s="22">
        <f t="shared" si="10"/>
        <v>0</v>
      </c>
      <c r="I46" s="22">
        <f t="shared" si="10"/>
        <v>0</v>
      </c>
      <c r="J46" s="22">
        <f t="shared" si="10"/>
        <v>0.19999999999999996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0.09999999999999964</v>
      </c>
      <c r="T46" s="22">
        <f t="shared" si="10"/>
        <v>4.100000000000011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19.3</v>
      </c>
      <c r="AG46" s="27">
        <f>AG40-AG41-AG42-AG43-AG44-AG45</f>
        <v>29.899999999999878</v>
      </c>
    </row>
    <row r="47" spans="1:33" ht="17.25" customHeight="1">
      <c r="A47" s="4" t="s">
        <v>43</v>
      </c>
      <c r="B47" s="36">
        <f>1095.2+400-17.5</f>
        <v>1477.7</v>
      </c>
      <c r="C47" s="22">
        <v>858.7</v>
      </c>
      <c r="D47" s="22"/>
      <c r="E47" s="28">
        <v>14.3</v>
      </c>
      <c r="F47" s="28">
        <v>123.2</v>
      </c>
      <c r="G47" s="28"/>
      <c r="H47" s="28"/>
      <c r="I47" s="28"/>
      <c r="J47" s="29"/>
      <c r="K47" s="28">
        <v>146.6</v>
      </c>
      <c r="L47" s="28">
        <v>30.6</v>
      </c>
      <c r="M47" s="28"/>
      <c r="N47" s="28"/>
      <c r="O47" s="31">
        <v>5</v>
      </c>
      <c r="P47" s="28">
        <v>8.3</v>
      </c>
      <c r="Q47" s="28">
        <v>5</v>
      </c>
      <c r="R47" s="28">
        <v>134.6</v>
      </c>
      <c r="S47" s="29">
        <v>84.2</v>
      </c>
      <c r="T47" s="29">
        <v>7.5</v>
      </c>
      <c r="U47" s="28">
        <v>24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583.3000000000001</v>
      </c>
      <c r="AG47" s="27">
        <f>B47+C47-AF47</f>
        <v>1753.1</v>
      </c>
    </row>
    <row r="48" spans="1:33" ht="15.75">
      <c r="A48" s="3" t="s">
        <v>5</v>
      </c>
      <c r="B48" s="22">
        <v>35.4</v>
      </c>
      <c r="C48" s="22">
        <v>18.1</v>
      </c>
      <c r="D48" s="22"/>
      <c r="E48" s="28"/>
      <c r="F48" s="28"/>
      <c r="G48" s="28"/>
      <c r="H48" s="28"/>
      <c r="I48" s="28"/>
      <c r="J48" s="29"/>
      <c r="K48" s="28">
        <v>10</v>
      </c>
      <c r="L48" s="28"/>
      <c r="M48" s="28"/>
      <c r="N48" s="28"/>
      <c r="O48" s="31"/>
      <c r="P48" s="28"/>
      <c r="Q48" s="28"/>
      <c r="R48" s="28"/>
      <c r="S48" s="29"/>
      <c r="T48" s="29"/>
      <c r="U48" s="28">
        <v>11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21</v>
      </c>
      <c r="AG48" s="27">
        <f>B48+C48-AF48</f>
        <v>32.5</v>
      </c>
    </row>
    <row r="49" spans="1:33" ht="15.75">
      <c r="A49" s="3" t="s">
        <v>16</v>
      </c>
      <c r="B49" s="22">
        <f>853.7+390.1-17.4-2</f>
        <v>1224.4</v>
      </c>
      <c r="C49" s="22">
        <v>643.8</v>
      </c>
      <c r="D49" s="22"/>
      <c r="E49" s="22"/>
      <c r="F49" s="22">
        <v>117</v>
      </c>
      <c r="G49" s="22"/>
      <c r="H49" s="22"/>
      <c r="I49" s="22"/>
      <c r="J49" s="26"/>
      <c r="K49" s="22">
        <v>131.2</v>
      </c>
      <c r="L49" s="22">
        <v>30.6</v>
      </c>
      <c r="M49" s="22"/>
      <c r="N49" s="22"/>
      <c r="O49" s="27">
        <v>5</v>
      </c>
      <c r="P49" s="22"/>
      <c r="Q49" s="22">
        <v>5</v>
      </c>
      <c r="R49" s="22">
        <v>134.6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423.4</v>
      </c>
      <c r="AG49" s="27">
        <f>B49+C49-AF49</f>
        <v>1444.8000000000002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217.89999999999986</v>
      </c>
      <c r="C51" s="22">
        <f t="shared" si="11"/>
        <v>196.80000000000007</v>
      </c>
      <c r="D51" s="22">
        <f t="shared" si="11"/>
        <v>0</v>
      </c>
      <c r="E51" s="22">
        <f t="shared" si="11"/>
        <v>14.3</v>
      </c>
      <c r="F51" s="22">
        <f t="shared" si="11"/>
        <v>6.200000000000003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5.400000000000006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8.3</v>
      </c>
      <c r="Q51" s="22">
        <f t="shared" si="11"/>
        <v>0</v>
      </c>
      <c r="R51" s="22">
        <f t="shared" si="11"/>
        <v>0</v>
      </c>
      <c r="S51" s="22">
        <f t="shared" si="11"/>
        <v>84.2</v>
      </c>
      <c r="T51" s="22">
        <f t="shared" si="11"/>
        <v>7.5</v>
      </c>
      <c r="U51" s="22">
        <f t="shared" si="11"/>
        <v>13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138.9</v>
      </c>
      <c r="AG51" s="27">
        <f>AG47-AG49-AG48</f>
        <v>275.7999999999997</v>
      </c>
    </row>
    <row r="52" spans="1:33" ht="15" customHeight="1">
      <c r="A52" s="4" t="s">
        <v>0</v>
      </c>
      <c r="B52" s="22">
        <f>5053.5+405.6</f>
        <v>5459.1</v>
      </c>
      <c r="C52" s="22">
        <v>3466.6</v>
      </c>
      <c r="D52" s="22"/>
      <c r="E52" s="22">
        <v>2276</v>
      </c>
      <c r="F52" s="22">
        <v>81.9</v>
      </c>
      <c r="G52" s="22"/>
      <c r="H52" s="22">
        <v>57.4</v>
      </c>
      <c r="I52" s="22">
        <v>38</v>
      </c>
      <c r="J52" s="26">
        <v>675.8</v>
      </c>
      <c r="K52" s="22">
        <v>274.5</v>
      </c>
      <c r="L52" s="22">
        <v>35.7</v>
      </c>
      <c r="M52" s="22">
        <v>263.7</v>
      </c>
      <c r="N52" s="22">
        <v>3</v>
      </c>
      <c r="O52" s="27">
        <v>29.9</v>
      </c>
      <c r="P52" s="22"/>
      <c r="Q52" s="22">
        <v>269.5</v>
      </c>
      <c r="R52" s="22">
        <v>461.5</v>
      </c>
      <c r="S52" s="26">
        <v>44</v>
      </c>
      <c r="T52" s="26">
        <v>1097.8</v>
      </c>
      <c r="U52" s="26">
        <v>83.4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5692.099999999999</v>
      </c>
      <c r="AG52" s="27">
        <f aca="true" t="shared" si="12" ref="AG52:AG59">B52+C52-AF52</f>
        <v>3233.6000000000013</v>
      </c>
    </row>
    <row r="53" spans="1:33" ht="15" customHeight="1">
      <c r="A53" s="3" t="s">
        <v>2</v>
      </c>
      <c r="B53" s="22">
        <v>773.6</v>
      </c>
      <c r="C53" s="22">
        <v>457.8</v>
      </c>
      <c r="D53" s="22"/>
      <c r="E53" s="22">
        <v>938.4</v>
      </c>
      <c r="F53" s="22"/>
      <c r="G53" s="22"/>
      <c r="H53" s="22"/>
      <c r="I53" s="22"/>
      <c r="J53" s="26"/>
      <c r="K53" s="22"/>
      <c r="L53" s="22"/>
      <c r="M53" s="22"/>
      <c r="N53" s="22">
        <v>3</v>
      </c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941.4</v>
      </c>
      <c r="AG53" s="27">
        <f t="shared" si="12"/>
        <v>290.0000000000001</v>
      </c>
    </row>
    <row r="54" spans="1:34" ht="15" customHeight="1">
      <c r="A54" s="4" t="s">
        <v>9</v>
      </c>
      <c r="B54" s="44">
        <f>4653+6.6</f>
        <v>4659.6</v>
      </c>
      <c r="C54" s="22">
        <v>1478.8</v>
      </c>
      <c r="D54" s="22">
        <v>1.5</v>
      </c>
      <c r="E54" s="22">
        <v>37.1</v>
      </c>
      <c r="F54" s="22">
        <v>157.3</v>
      </c>
      <c r="G54" s="22"/>
      <c r="H54" s="22">
        <v>17.7</v>
      </c>
      <c r="I54" s="22"/>
      <c r="J54" s="26">
        <v>6.8</v>
      </c>
      <c r="K54" s="22">
        <v>2135.6</v>
      </c>
      <c r="L54" s="22">
        <v>67.4</v>
      </c>
      <c r="M54" s="22">
        <v>59.6</v>
      </c>
      <c r="N54" s="22"/>
      <c r="O54" s="27"/>
      <c r="P54" s="22">
        <v>135</v>
      </c>
      <c r="Q54" s="27">
        <v>57.6</v>
      </c>
      <c r="R54" s="22">
        <v>27.2</v>
      </c>
      <c r="S54" s="26"/>
      <c r="T54" s="26">
        <v>2317.7</v>
      </c>
      <c r="U54" s="26">
        <v>25.5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5046</v>
      </c>
      <c r="AG54" s="22">
        <f t="shared" si="12"/>
        <v>1092.4000000000005</v>
      </c>
      <c r="AH54" s="6"/>
    </row>
    <row r="55" spans="1:34" ht="15.75">
      <c r="A55" s="3" t="s">
        <v>5</v>
      </c>
      <c r="B55" s="22">
        <f>3715.4+219.3</f>
        <v>3934.7000000000003</v>
      </c>
      <c r="C55" s="22">
        <v>169.4</v>
      </c>
      <c r="D55" s="22">
        <v>1.5</v>
      </c>
      <c r="E55" s="22"/>
      <c r="F55" s="22"/>
      <c r="G55" s="22"/>
      <c r="H55" s="22"/>
      <c r="I55" s="22"/>
      <c r="J55" s="26"/>
      <c r="K55" s="22">
        <v>1881.6</v>
      </c>
      <c r="L55" s="22"/>
      <c r="M55" s="22"/>
      <c r="N55" s="22"/>
      <c r="O55" s="27"/>
      <c r="P55" s="22"/>
      <c r="Q55" s="27"/>
      <c r="R55" s="22"/>
      <c r="S55" s="26"/>
      <c r="T55" s="26">
        <v>1967.7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3850.8</v>
      </c>
      <c r="AG55" s="22">
        <f t="shared" si="12"/>
        <v>253.30000000000018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289.7-119.1</f>
        <v>170.6</v>
      </c>
      <c r="C57" s="22">
        <v>485.1</v>
      </c>
      <c r="D57" s="22"/>
      <c r="E57" s="22"/>
      <c r="F57" s="22"/>
      <c r="G57" s="22"/>
      <c r="H57" s="22"/>
      <c r="I57" s="22"/>
      <c r="J57" s="26"/>
      <c r="K57" s="22">
        <v>174</v>
      </c>
      <c r="L57" s="22">
        <v>0.1</v>
      </c>
      <c r="M57" s="22">
        <v>59.2</v>
      </c>
      <c r="N57" s="22"/>
      <c r="O57" s="27"/>
      <c r="P57" s="22">
        <v>12.8</v>
      </c>
      <c r="Q57" s="27">
        <v>2</v>
      </c>
      <c r="R57" s="22">
        <v>8.2</v>
      </c>
      <c r="S57" s="26"/>
      <c r="T57" s="26">
        <v>325.6</v>
      </c>
      <c r="U57" s="26">
        <v>7.6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589.5000000000001</v>
      </c>
      <c r="AG57" s="22">
        <f t="shared" si="12"/>
        <v>66.19999999999993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>
        <v>5.1</v>
      </c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549.2</v>
      </c>
      <c r="C60" s="22">
        <f t="shared" si="13"/>
        <v>824.2999999999998</v>
      </c>
      <c r="D60" s="22">
        <f t="shared" si="13"/>
        <v>0</v>
      </c>
      <c r="E60" s="22">
        <f t="shared" si="13"/>
        <v>37.1</v>
      </c>
      <c r="F60" s="22">
        <f t="shared" si="13"/>
        <v>157.3</v>
      </c>
      <c r="G60" s="22">
        <f t="shared" si="13"/>
        <v>0</v>
      </c>
      <c r="H60" s="22">
        <f t="shared" si="13"/>
        <v>17.7</v>
      </c>
      <c r="I60" s="22">
        <f t="shared" si="13"/>
        <v>0</v>
      </c>
      <c r="J60" s="22">
        <f t="shared" si="13"/>
        <v>1.7000000000000002</v>
      </c>
      <c r="K60" s="22">
        <f t="shared" si="13"/>
        <v>80</v>
      </c>
      <c r="L60" s="22">
        <f t="shared" si="13"/>
        <v>67.30000000000001</v>
      </c>
      <c r="M60" s="22">
        <f t="shared" si="13"/>
        <v>0.3999999999999986</v>
      </c>
      <c r="N60" s="22">
        <f t="shared" si="13"/>
        <v>0</v>
      </c>
      <c r="O60" s="22">
        <f t="shared" si="13"/>
        <v>0</v>
      </c>
      <c r="P60" s="22">
        <f t="shared" si="13"/>
        <v>122.2</v>
      </c>
      <c r="Q60" s="22">
        <f t="shared" si="13"/>
        <v>55.6</v>
      </c>
      <c r="R60" s="22">
        <f t="shared" si="13"/>
        <v>19</v>
      </c>
      <c r="S60" s="22">
        <f t="shared" si="13"/>
        <v>0</v>
      </c>
      <c r="T60" s="22">
        <f t="shared" si="13"/>
        <v>24.39999999999975</v>
      </c>
      <c r="U60" s="22">
        <f t="shared" si="13"/>
        <v>17.9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600.5999999999997</v>
      </c>
      <c r="AG60" s="22">
        <f>AG54-AG55-AG57-AG59-AG56-AG58</f>
        <v>772.9000000000004</v>
      </c>
    </row>
    <row r="61" spans="1:33" ht="15" customHeight="1">
      <c r="A61" s="4" t="s">
        <v>10</v>
      </c>
      <c r="B61" s="22">
        <f>152.3+110.1+3.4</f>
        <v>265.79999999999995</v>
      </c>
      <c r="C61" s="22">
        <v>62.5</v>
      </c>
      <c r="D61" s="22"/>
      <c r="E61" s="22">
        <v>30.1</v>
      </c>
      <c r="F61" s="22">
        <v>12.7</v>
      </c>
      <c r="G61" s="22"/>
      <c r="H61" s="22"/>
      <c r="I61" s="22">
        <v>5</v>
      </c>
      <c r="J61" s="26">
        <v>6.1</v>
      </c>
      <c r="K61" s="22">
        <v>5</v>
      </c>
      <c r="L61" s="22"/>
      <c r="M61" s="22"/>
      <c r="N61" s="22"/>
      <c r="O61" s="27">
        <v>7.2</v>
      </c>
      <c r="P61" s="22"/>
      <c r="Q61" s="27"/>
      <c r="R61" s="22"/>
      <c r="S61" s="26">
        <v>55.8</v>
      </c>
      <c r="T61" s="26">
        <v>7.4</v>
      </c>
      <c r="U61" s="26"/>
      <c r="V61" s="26">
        <v>109.8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239.09999999999997</v>
      </c>
      <c r="AG61" s="22">
        <f aca="true" t="shared" si="15" ref="AG61:AG67">B61+C61-AF61</f>
        <v>89.19999999999999</v>
      </c>
    </row>
    <row r="62" spans="1:33" ht="15" customHeight="1">
      <c r="A62" s="4" t="s">
        <v>11</v>
      </c>
      <c r="B62" s="22">
        <f>2447.2-150.3</f>
        <v>2296.8999999999996</v>
      </c>
      <c r="C62" s="22">
        <v>847.5</v>
      </c>
      <c r="D62" s="22"/>
      <c r="E62" s="22"/>
      <c r="F62" s="22"/>
      <c r="G62" s="22">
        <v>195.2</v>
      </c>
      <c r="H62" s="22"/>
      <c r="I62" s="22">
        <v>85.2</v>
      </c>
      <c r="J62" s="26">
        <v>498.7</v>
      </c>
      <c r="K62" s="22">
        <v>48.5</v>
      </c>
      <c r="L62" s="22"/>
      <c r="M62" s="22">
        <v>15.2</v>
      </c>
      <c r="N62" s="22"/>
      <c r="O62" s="27"/>
      <c r="P62" s="22">
        <v>20.1</v>
      </c>
      <c r="Q62" s="27"/>
      <c r="R62" s="22"/>
      <c r="S62" s="26">
        <v>884.8</v>
      </c>
      <c r="T62" s="26">
        <v>122.4</v>
      </c>
      <c r="U62" s="26">
        <v>110.8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1980.8999999999999</v>
      </c>
      <c r="AG62" s="22">
        <f t="shared" si="15"/>
        <v>1163.4999999999998</v>
      </c>
    </row>
    <row r="63" spans="1:34" ht="15.75">
      <c r="A63" s="3" t="s">
        <v>5</v>
      </c>
      <c r="B63" s="22">
        <f>1197.5-150.1</f>
        <v>1047.4</v>
      </c>
      <c r="C63" s="22">
        <v>104.8</v>
      </c>
      <c r="D63" s="22"/>
      <c r="E63" s="22"/>
      <c r="F63" s="22"/>
      <c r="G63" s="22"/>
      <c r="H63" s="22"/>
      <c r="I63" s="22"/>
      <c r="J63" s="26">
        <v>397.8</v>
      </c>
      <c r="K63" s="22"/>
      <c r="L63" s="22"/>
      <c r="M63" s="22"/>
      <c r="N63" s="22"/>
      <c r="O63" s="27"/>
      <c r="P63" s="22"/>
      <c r="Q63" s="27"/>
      <c r="R63" s="22"/>
      <c r="S63" s="26">
        <v>724.9</v>
      </c>
      <c r="T63" s="26"/>
      <c r="U63" s="26">
        <v>1.1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1123.8</v>
      </c>
      <c r="AG63" s="22">
        <f t="shared" si="15"/>
        <v>28.40000000000009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f>78-0.2</f>
        <v>77.8</v>
      </c>
      <c r="C65" s="22">
        <v>82.7</v>
      </c>
      <c r="D65" s="22"/>
      <c r="E65" s="22"/>
      <c r="F65" s="22"/>
      <c r="G65" s="22">
        <v>28.2</v>
      </c>
      <c r="H65" s="22"/>
      <c r="I65" s="22">
        <v>4</v>
      </c>
      <c r="J65" s="26"/>
      <c r="K65" s="22">
        <v>19.8</v>
      </c>
      <c r="L65" s="22"/>
      <c r="M65" s="22">
        <v>8.2</v>
      </c>
      <c r="N65" s="22"/>
      <c r="O65" s="27"/>
      <c r="P65" s="22"/>
      <c r="Q65" s="27"/>
      <c r="R65" s="22"/>
      <c r="S65" s="26"/>
      <c r="T65" s="26">
        <v>38.7</v>
      </c>
      <c r="U65" s="26">
        <v>4.3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103.2</v>
      </c>
      <c r="AG65" s="22">
        <f t="shared" si="15"/>
        <v>57.3</v>
      </c>
      <c r="AH65" s="6"/>
    </row>
    <row r="66" spans="1:33" ht="15.75">
      <c r="A66" s="3" t="s">
        <v>2</v>
      </c>
      <c r="B66" s="22">
        <v>125.6</v>
      </c>
      <c r="C66" s="22">
        <v>179.1</v>
      </c>
      <c r="D66" s="22"/>
      <c r="E66" s="22"/>
      <c r="F66" s="22"/>
      <c r="G66" s="22">
        <v>25</v>
      </c>
      <c r="H66" s="22"/>
      <c r="I66" s="22">
        <v>43</v>
      </c>
      <c r="J66" s="26"/>
      <c r="K66" s="22">
        <v>3.8</v>
      </c>
      <c r="L66" s="22"/>
      <c r="M66" s="22">
        <v>1.3</v>
      </c>
      <c r="N66" s="22"/>
      <c r="O66" s="27"/>
      <c r="P66" s="22"/>
      <c r="Q66" s="22"/>
      <c r="R66" s="22"/>
      <c r="S66" s="26"/>
      <c r="T66" s="26">
        <v>4.1</v>
      </c>
      <c r="U66" s="26">
        <v>73.9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151.1</v>
      </c>
      <c r="AG66" s="22">
        <f t="shared" si="15"/>
        <v>153.6</v>
      </c>
    </row>
    <row r="67" spans="1:33" ht="15.75">
      <c r="A67" s="3" t="s">
        <v>16</v>
      </c>
      <c r="B67" s="22">
        <v>43.3</v>
      </c>
      <c r="C67" s="22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>
        <v>40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.75">
      <c r="A68" s="3" t="s">
        <v>23</v>
      </c>
      <c r="B68" s="22">
        <f aca="true" t="shared" si="16" ref="B68:AD68">B62-B63-B66-B67-B65-B64</f>
        <v>1002.7999999999997</v>
      </c>
      <c r="C68" s="22">
        <f t="shared" si="16"/>
        <v>471.2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142</v>
      </c>
      <c r="H68" s="22">
        <f t="shared" si="16"/>
        <v>0</v>
      </c>
      <c r="I68" s="22">
        <f t="shared" si="16"/>
        <v>38.2</v>
      </c>
      <c r="J68" s="22">
        <f t="shared" si="16"/>
        <v>100.89999999999998</v>
      </c>
      <c r="K68" s="22">
        <f t="shared" si="16"/>
        <v>24.900000000000002</v>
      </c>
      <c r="L68" s="22">
        <f t="shared" si="16"/>
        <v>0</v>
      </c>
      <c r="M68" s="22">
        <f t="shared" si="16"/>
        <v>5.699999999999999</v>
      </c>
      <c r="N68" s="22">
        <f t="shared" si="16"/>
        <v>0</v>
      </c>
      <c r="O68" s="22">
        <f t="shared" si="16"/>
        <v>0</v>
      </c>
      <c r="P68" s="22">
        <f t="shared" si="16"/>
        <v>20.1</v>
      </c>
      <c r="Q68" s="22">
        <f t="shared" si="16"/>
        <v>0</v>
      </c>
      <c r="R68" s="22">
        <f t="shared" si="16"/>
        <v>0</v>
      </c>
      <c r="S68" s="22">
        <f t="shared" si="16"/>
        <v>159.89999999999998</v>
      </c>
      <c r="T68" s="22">
        <f t="shared" si="16"/>
        <v>39.60000000000001</v>
      </c>
      <c r="U68" s="22">
        <f t="shared" si="16"/>
        <v>31.499999999999996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562.8</v>
      </c>
      <c r="AG68" s="22">
        <f>AG62-AG63-AG66-AG67-AG65-AG64</f>
        <v>911.1999999999997</v>
      </c>
    </row>
    <row r="69" spans="1:33" ht="31.5">
      <c r="A69" s="4" t="s">
        <v>46</v>
      </c>
      <c r="B69" s="22">
        <v>3611.4</v>
      </c>
      <c r="C69" s="22">
        <v>961.8</v>
      </c>
      <c r="D69" s="22"/>
      <c r="E69" s="22"/>
      <c r="F69" s="22"/>
      <c r="G69" s="22"/>
      <c r="H69" s="22"/>
      <c r="I69" s="22"/>
      <c r="J69" s="26"/>
      <c r="K69" s="22">
        <v>1694.1</v>
      </c>
      <c r="L69" s="22"/>
      <c r="M69" s="22"/>
      <c r="N69" s="22"/>
      <c r="O69" s="22"/>
      <c r="P69" s="22">
        <v>1722.4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3416.5</v>
      </c>
      <c r="AG69" s="30">
        <f aca="true" t="shared" si="17" ref="AG69:AG92">B69+C69-AF69</f>
        <v>1156.6999999999998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f>1094.9+424</f>
        <v>1518.9</v>
      </c>
      <c r="C71" s="28">
        <v>435.8</v>
      </c>
      <c r="D71" s="28"/>
      <c r="E71" s="28"/>
      <c r="F71" s="28"/>
      <c r="G71" s="28"/>
      <c r="H71" s="28">
        <v>853.6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638.8</v>
      </c>
      <c r="V71" s="29">
        <v>424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1916.4</v>
      </c>
      <c r="AG71" s="30">
        <f t="shared" si="17"/>
        <v>38.299999999999955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1251.3-110.1-21.3-99.5</f>
        <v>1020.4000000000001</v>
      </c>
      <c r="C72" s="22">
        <v>2210.4</v>
      </c>
      <c r="D72" s="22"/>
      <c r="E72" s="22">
        <v>172.7</v>
      </c>
      <c r="F72" s="22">
        <v>12.2</v>
      </c>
      <c r="G72" s="22">
        <v>8.2</v>
      </c>
      <c r="H72" s="22">
        <v>1</v>
      </c>
      <c r="I72" s="22"/>
      <c r="J72" s="26">
        <v>99.7</v>
      </c>
      <c r="K72" s="22">
        <v>0.7</v>
      </c>
      <c r="L72" s="22">
        <v>2</v>
      </c>
      <c r="M72" s="22">
        <v>1.4</v>
      </c>
      <c r="N72" s="22">
        <v>1.3</v>
      </c>
      <c r="O72" s="22"/>
      <c r="P72" s="22">
        <v>27.5</v>
      </c>
      <c r="Q72" s="27"/>
      <c r="R72" s="22"/>
      <c r="S72" s="26">
        <v>185.4</v>
      </c>
      <c r="T72" s="26">
        <v>114.2</v>
      </c>
      <c r="U72" s="26">
        <v>12.4</v>
      </c>
      <c r="V72" s="26">
        <v>16.5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655.1999999999999</v>
      </c>
      <c r="AG72" s="30">
        <f t="shared" si="17"/>
        <v>2575.6000000000004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39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251.2</v>
      </c>
      <c r="C74" s="22">
        <v>729</v>
      </c>
      <c r="D74" s="22"/>
      <c r="E74" s="22">
        <v>81.4</v>
      </c>
      <c r="F74" s="22"/>
      <c r="G74" s="22"/>
      <c r="H74" s="22">
        <v>0.3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4.6</v>
      </c>
      <c r="U74" s="26"/>
      <c r="V74" s="26">
        <v>16.5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102.8</v>
      </c>
      <c r="AG74" s="30">
        <f t="shared" si="17"/>
        <v>877.4000000000001</v>
      </c>
    </row>
    <row r="75" spans="1:33" ht="15" customHeight="1">
      <c r="A75" s="3" t="s">
        <v>16</v>
      </c>
      <c r="B75" s="22">
        <f>11.2+50</f>
        <v>61.2</v>
      </c>
      <c r="C75" s="22">
        <v>85.2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140</v>
      </c>
    </row>
    <row r="76" spans="1:33" s="11" customFormat="1" ht="15.75">
      <c r="A76" s="12" t="s">
        <v>49</v>
      </c>
      <c r="B76" s="22">
        <v>120.9</v>
      </c>
      <c r="C76" s="22">
        <v>136.2</v>
      </c>
      <c r="D76" s="22"/>
      <c r="E76" s="28"/>
      <c r="F76" s="28"/>
      <c r="G76" s="28"/>
      <c r="H76" s="28"/>
      <c r="I76" s="28"/>
      <c r="J76" s="29">
        <v>43.3</v>
      </c>
      <c r="K76" s="28"/>
      <c r="L76" s="28">
        <v>3.1</v>
      </c>
      <c r="M76" s="28"/>
      <c r="N76" s="28"/>
      <c r="O76" s="28"/>
      <c r="P76" s="28"/>
      <c r="Q76" s="31">
        <v>0.2</v>
      </c>
      <c r="R76" s="28"/>
      <c r="S76" s="29">
        <v>52.2</v>
      </c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98.80000000000001</v>
      </c>
      <c r="AG76" s="30">
        <f t="shared" si="17"/>
        <v>158.3</v>
      </c>
    </row>
    <row r="77" spans="1:33" s="11" customFormat="1" ht="15.75">
      <c r="A77" s="3" t="s">
        <v>5</v>
      </c>
      <c r="B77" s="22">
        <v>88.3</v>
      </c>
      <c r="C77" s="22">
        <v>0.5</v>
      </c>
      <c r="D77" s="22"/>
      <c r="E77" s="28"/>
      <c r="F77" s="28"/>
      <c r="G77" s="28"/>
      <c r="H77" s="28"/>
      <c r="I77" s="28"/>
      <c r="J77" s="29">
        <v>36.4</v>
      </c>
      <c r="K77" s="28"/>
      <c r="L77" s="28"/>
      <c r="M77" s="28"/>
      <c r="N77" s="28"/>
      <c r="O77" s="28"/>
      <c r="P77" s="28"/>
      <c r="Q77" s="31"/>
      <c r="R77" s="28"/>
      <c r="S77" s="29">
        <v>51.8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88.19999999999999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2</v>
      </c>
      <c r="C80" s="22">
        <v>8.6</v>
      </c>
      <c r="D80" s="22"/>
      <c r="E80" s="28"/>
      <c r="F80" s="28"/>
      <c r="G80" s="28"/>
      <c r="H80" s="28"/>
      <c r="I80" s="28"/>
      <c r="J80" s="29">
        <v>3.7</v>
      </c>
      <c r="K80" s="28"/>
      <c r="L80" s="28">
        <v>0.1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3.8000000000000003</v>
      </c>
      <c r="AG80" s="30">
        <f t="shared" si="17"/>
        <v>6.799999999999999</v>
      </c>
    </row>
    <row r="81" spans="1:33" s="11" customFormat="1" ht="15.7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59</v>
      </c>
      <c r="B83" s="28">
        <v>300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>
        <v>300</v>
      </c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300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7600-2821-205-300-2124.4-424-2118+410+0.1</f>
        <v>17.69999999999991</v>
      </c>
      <c r="C89" s="22">
        <f>5507.6-410</f>
        <v>5097.6</v>
      </c>
      <c r="D89" s="22">
        <v>4.7</v>
      </c>
      <c r="E89" s="22">
        <v>884.5</v>
      </c>
      <c r="F89" s="22">
        <v>257</v>
      </c>
      <c r="G89" s="22">
        <v>126.5</v>
      </c>
      <c r="H89" s="22">
        <v>89.5</v>
      </c>
      <c r="I89" s="22">
        <v>69.2</v>
      </c>
      <c r="J89" s="22"/>
      <c r="K89" s="22">
        <v>64</v>
      </c>
      <c r="L89" s="22">
        <v>1270.4</v>
      </c>
      <c r="M89" s="22">
        <v>177.7</v>
      </c>
      <c r="N89" s="22"/>
      <c r="O89" s="22">
        <v>6.2</v>
      </c>
      <c r="P89" s="22"/>
      <c r="Q89" s="22"/>
      <c r="R89" s="22"/>
      <c r="S89" s="26"/>
      <c r="T89" s="26">
        <v>77.9</v>
      </c>
      <c r="U89" s="22">
        <v>311.3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3338.9</v>
      </c>
      <c r="AG89" s="22">
        <f t="shared" si="17"/>
        <v>1776.4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>
        <v>819.1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>
        <v>2400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3233.3</v>
      </c>
      <c r="AH91" s="11"/>
    </row>
    <row r="92" spans="1:34" ht="15.75">
      <c r="A92" s="4" t="s">
        <v>37</v>
      </c>
      <c r="B92" s="22">
        <f>17079.5+2821+205+2124.4-1436.6</f>
        <v>20793.300000000003</v>
      </c>
      <c r="C92" s="22">
        <v>0</v>
      </c>
      <c r="D92" s="22">
        <v>616.4</v>
      </c>
      <c r="E92" s="22">
        <v>1163.1</v>
      </c>
      <c r="F92" s="22">
        <v>2765.5</v>
      </c>
      <c r="G92" s="22">
        <v>2546.4</v>
      </c>
      <c r="H92" s="22"/>
      <c r="I92" s="22">
        <f>2561.8+1792</f>
        <v>4353.8</v>
      </c>
      <c r="J92" s="22">
        <v>0.1</v>
      </c>
      <c r="K92" s="22"/>
      <c r="L92" s="22">
        <v>736.5</v>
      </c>
      <c r="M92" s="22">
        <v>23.5</v>
      </c>
      <c r="N92" s="22">
        <v>4.6</v>
      </c>
      <c r="O92" s="22">
        <v>1885.9</v>
      </c>
      <c r="P92" s="22">
        <v>2153.2</v>
      </c>
      <c r="Q92" s="22">
        <v>3856.5</v>
      </c>
      <c r="R92" s="22"/>
      <c r="S92" s="26"/>
      <c r="T92" s="26"/>
      <c r="U92" s="22">
        <v>687.8</v>
      </c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20793.3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149186.89999999997</v>
      </c>
      <c r="C94" s="42">
        <f t="shared" si="18"/>
        <v>67198.9</v>
      </c>
      <c r="D94" s="42">
        <f t="shared" si="18"/>
        <v>3280.2999999999997</v>
      </c>
      <c r="E94" s="42">
        <f t="shared" si="18"/>
        <v>4693</v>
      </c>
      <c r="F94" s="42">
        <f t="shared" si="18"/>
        <v>3885</v>
      </c>
      <c r="G94" s="42">
        <f t="shared" si="18"/>
        <v>3102.4</v>
      </c>
      <c r="H94" s="42">
        <f t="shared" si="18"/>
        <v>5101.3</v>
      </c>
      <c r="I94" s="42">
        <f t="shared" si="18"/>
        <v>9570.8</v>
      </c>
      <c r="J94" s="42">
        <f t="shared" si="18"/>
        <v>12267.900000000001</v>
      </c>
      <c r="K94" s="42">
        <f t="shared" si="18"/>
        <v>24977.099999999995</v>
      </c>
      <c r="L94" s="42">
        <f t="shared" si="18"/>
        <v>2304.6000000000004</v>
      </c>
      <c r="M94" s="42">
        <f t="shared" si="18"/>
        <v>3236.4999999999995</v>
      </c>
      <c r="N94" s="42">
        <f t="shared" si="18"/>
        <v>20.6</v>
      </c>
      <c r="O94" s="42">
        <f t="shared" si="18"/>
        <v>2033.4</v>
      </c>
      <c r="P94" s="42">
        <f t="shared" si="18"/>
        <v>5684.799999999999</v>
      </c>
      <c r="Q94" s="42">
        <f t="shared" si="18"/>
        <v>5433.4</v>
      </c>
      <c r="R94" s="42">
        <f t="shared" si="18"/>
        <v>3053.8999999999996</v>
      </c>
      <c r="S94" s="42">
        <f t="shared" si="18"/>
        <v>25895.699999999997</v>
      </c>
      <c r="T94" s="42">
        <f t="shared" si="18"/>
        <v>20720.7</v>
      </c>
      <c r="U94" s="42">
        <f t="shared" si="18"/>
        <v>3922.3</v>
      </c>
      <c r="V94" s="42">
        <f t="shared" si="18"/>
        <v>1441.6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140625.3</v>
      </c>
      <c r="AG94" s="58">
        <f>AG10+AG15+AG24+AG33+AG47+AG52+AG54+AG61+AG62+AG69+AG71+AG72+AG76+AG81+AG82+AG83+AG88+AG89+AG90+AG91+AG70+AG40+AG92</f>
        <v>75760.49999999999</v>
      </c>
    </row>
    <row r="95" spans="1:33" ht="15.75">
      <c r="A95" s="3" t="s">
        <v>5</v>
      </c>
      <c r="B95" s="22">
        <f aca="true" t="shared" si="19" ref="B95:AD95">B11+B17+B26+B34+B55+B63+B73+B41+B77+B48</f>
        <v>58873.1</v>
      </c>
      <c r="C95" s="22">
        <f t="shared" si="19"/>
        <v>23799.299999999996</v>
      </c>
      <c r="D95" s="22">
        <f t="shared" si="19"/>
        <v>2657.6</v>
      </c>
      <c r="E95" s="22">
        <f t="shared" si="19"/>
        <v>29.5</v>
      </c>
      <c r="F95" s="22">
        <f t="shared" si="19"/>
        <v>22.6</v>
      </c>
      <c r="G95" s="22">
        <f t="shared" si="19"/>
        <v>26.4</v>
      </c>
      <c r="H95" s="22">
        <f t="shared" si="19"/>
        <v>0</v>
      </c>
      <c r="I95" s="22">
        <f t="shared" si="19"/>
        <v>0</v>
      </c>
      <c r="J95" s="22">
        <f t="shared" si="19"/>
        <v>11344.699999999999</v>
      </c>
      <c r="K95" s="22">
        <f t="shared" si="19"/>
        <v>10715.2</v>
      </c>
      <c r="L95" s="22">
        <f t="shared" si="19"/>
        <v>0</v>
      </c>
      <c r="M95" s="22">
        <f t="shared" si="19"/>
        <v>2.5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10664.3</v>
      </c>
      <c r="T95" s="22">
        <f t="shared" si="19"/>
        <v>17435.7</v>
      </c>
      <c r="U95" s="22">
        <f t="shared" si="19"/>
        <v>1424.1999999999998</v>
      </c>
      <c r="V95" s="22">
        <f t="shared" si="19"/>
        <v>72.2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54394.899999999994</v>
      </c>
      <c r="AG95" s="27">
        <f>B95+C95-AF95</f>
        <v>28277.5</v>
      </c>
    </row>
    <row r="96" spans="1:33" ht="15.75">
      <c r="A96" s="3" t="s">
        <v>2</v>
      </c>
      <c r="B96" s="22">
        <f aca="true" t="shared" si="20" ref="B96:AD96">B12+B20+B29+B36+B57+B66+B44+B80+B74+B53</f>
        <v>3798.6</v>
      </c>
      <c r="C96" s="22">
        <f t="shared" si="20"/>
        <v>12985.099999999999</v>
      </c>
      <c r="D96" s="22">
        <f t="shared" si="20"/>
        <v>0</v>
      </c>
      <c r="E96" s="22">
        <f t="shared" si="20"/>
        <v>1019.8</v>
      </c>
      <c r="F96" s="22">
        <f t="shared" si="20"/>
        <v>0</v>
      </c>
      <c r="G96" s="22">
        <f t="shared" si="20"/>
        <v>134.2</v>
      </c>
      <c r="H96" s="22">
        <f t="shared" si="20"/>
        <v>128.9</v>
      </c>
      <c r="I96" s="22">
        <f t="shared" si="20"/>
        <v>3236</v>
      </c>
      <c r="J96" s="22">
        <f t="shared" si="20"/>
        <v>4.1000000000000005</v>
      </c>
      <c r="K96" s="22">
        <f t="shared" si="20"/>
        <v>2171.7000000000003</v>
      </c>
      <c r="L96" s="22">
        <f t="shared" si="20"/>
        <v>0.2</v>
      </c>
      <c r="M96" s="22">
        <f t="shared" si="20"/>
        <v>122.89999999999999</v>
      </c>
      <c r="N96" s="22">
        <f t="shared" si="20"/>
        <v>3</v>
      </c>
      <c r="O96" s="22">
        <f t="shared" si="20"/>
        <v>0</v>
      </c>
      <c r="P96" s="22">
        <f t="shared" si="20"/>
        <v>656</v>
      </c>
      <c r="Q96" s="22">
        <f t="shared" si="20"/>
        <v>87.5</v>
      </c>
      <c r="R96" s="22">
        <f t="shared" si="20"/>
        <v>382.2</v>
      </c>
      <c r="S96" s="22">
        <f t="shared" si="20"/>
        <v>228.4</v>
      </c>
      <c r="T96" s="22">
        <f t="shared" si="20"/>
        <v>1495.6999999999996</v>
      </c>
      <c r="U96" s="22">
        <f t="shared" si="20"/>
        <v>82.80000000000001</v>
      </c>
      <c r="V96" s="22">
        <f t="shared" si="20"/>
        <v>16.5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9769.899999999998</v>
      </c>
      <c r="AG96" s="27">
        <f>B96+C96-AF96</f>
        <v>7013.799999999999</v>
      </c>
    </row>
    <row r="97" spans="1:33" ht="15.75">
      <c r="A97" s="3" t="s">
        <v>3</v>
      </c>
      <c r="B97" s="22">
        <f aca="true" t="shared" si="21" ref="B97:AA97">B18+B27+B42+B64+B78</f>
        <v>14</v>
      </c>
      <c r="C97" s="22">
        <f t="shared" si="21"/>
        <v>7.6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0.4</v>
      </c>
      <c r="J97" s="22">
        <f t="shared" si="21"/>
        <v>0.4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1.3</v>
      </c>
      <c r="Q97" s="22">
        <f t="shared" si="21"/>
        <v>0</v>
      </c>
      <c r="R97" s="22">
        <f t="shared" si="21"/>
        <v>1.6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3.7</v>
      </c>
      <c r="AG97" s="27">
        <f>B97+C97-AF97</f>
        <v>17.900000000000002</v>
      </c>
    </row>
    <row r="98" spans="1:33" ht="15.75">
      <c r="A98" s="3" t="s">
        <v>1</v>
      </c>
      <c r="B98" s="22">
        <f aca="true" t="shared" si="22" ref="B98:AD98">B19+B28+B65+B35+B43+B56+B79</f>
        <v>3800.1000000000004</v>
      </c>
      <c r="C98" s="22">
        <f t="shared" si="22"/>
        <v>1150.8000000000002</v>
      </c>
      <c r="D98" s="22">
        <f t="shared" si="22"/>
        <v>0</v>
      </c>
      <c r="E98" s="22">
        <f t="shared" si="22"/>
        <v>0</v>
      </c>
      <c r="F98" s="22">
        <f t="shared" si="22"/>
        <v>414.9</v>
      </c>
      <c r="G98" s="22">
        <f t="shared" si="22"/>
        <v>35.5</v>
      </c>
      <c r="H98" s="22">
        <f t="shared" si="22"/>
        <v>354.8</v>
      </c>
      <c r="I98" s="22">
        <f t="shared" si="22"/>
        <v>714.5</v>
      </c>
      <c r="J98" s="22">
        <f t="shared" si="22"/>
        <v>15.1</v>
      </c>
      <c r="K98" s="22">
        <f t="shared" si="22"/>
        <v>89.2</v>
      </c>
      <c r="L98" s="22">
        <f t="shared" si="22"/>
        <v>70.2</v>
      </c>
      <c r="M98" s="22">
        <f t="shared" si="22"/>
        <v>35.9</v>
      </c>
      <c r="N98" s="22">
        <f t="shared" si="22"/>
        <v>0</v>
      </c>
      <c r="O98" s="22">
        <f t="shared" si="22"/>
        <v>56</v>
      </c>
      <c r="P98" s="22">
        <f t="shared" si="22"/>
        <v>0</v>
      </c>
      <c r="Q98" s="22">
        <f t="shared" si="22"/>
        <v>270</v>
      </c>
      <c r="R98" s="22">
        <f t="shared" si="22"/>
        <v>285.7</v>
      </c>
      <c r="S98" s="22">
        <f t="shared" si="22"/>
        <v>197.8</v>
      </c>
      <c r="T98" s="22">
        <f t="shared" si="22"/>
        <v>319</v>
      </c>
      <c r="U98" s="22">
        <f t="shared" si="22"/>
        <v>34.5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2893.1000000000004</v>
      </c>
      <c r="AG98" s="27">
        <f>B98+C98-AF98</f>
        <v>2057.8</v>
      </c>
    </row>
    <row r="99" spans="1:33" ht="15.75">
      <c r="A99" s="3" t="s">
        <v>16</v>
      </c>
      <c r="B99" s="22">
        <f aca="true" t="shared" si="23" ref="B99:X99">B21+B30+B49+B37+B58+B13+B75+B67</f>
        <v>2443.5</v>
      </c>
      <c r="C99" s="22">
        <f t="shared" si="23"/>
        <v>1044.7</v>
      </c>
      <c r="D99" s="22">
        <f t="shared" si="23"/>
        <v>0</v>
      </c>
      <c r="E99" s="22">
        <f t="shared" si="23"/>
        <v>0</v>
      </c>
      <c r="F99" s="22">
        <f t="shared" si="23"/>
        <v>117</v>
      </c>
      <c r="G99" s="22">
        <f t="shared" si="23"/>
        <v>0</v>
      </c>
      <c r="H99" s="22">
        <f t="shared" si="23"/>
        <v>3.6</v>
      </c>
      <c r="I99" s="22">
        <f t="shared" si="23"/>
        <v>1.2</v>
      </c>
      <c r="J99" s="22">
        <f t="shared" si="23"/>
        <v>5.1</v>
      </c>
      <c r="K99" s="22">
        <f t="shared" si="23"/>
        <v>281.4</v>
      </c>
      <c r="L99" s="22">
        <f t="shared" si="23"/>
        <v>34.2</v>
      </c>
      <c r="M99" s="22">
        <f t="shared" si="23"/>
        <v>534.8</v>
      </c>
      <c r="N99" s="22">
        <f t="shared" si="23"/>
        <v>0</v>
      </c>
      <c r="O99" s="22">
        <f t="shared" si="23"/>
        <v>5</v>
      </c>
      <c r="P99" s="22">
        <f t="shared" si="23"/>
        <v>0</v>
      </c>
      <c r="Q99" s="22">
        <f t="shared" si="23"/>
        <v>242.6</v>
      </c>
      <c r="R99" s="22">
        <f t="shared" si="23"/>
        <v>134.6</v>
      </c>
      <c r="S99" s="22">
        <f t="shared" si="23"/>
        <v>0</v>
      </c>
      <c r="T99" s="22">
        <f t="shared" si="23"/>
        <v>40</v>
      </c>
      <c r="U99" s="22">
        <f t="shared" si="23"/>
        <v>41.6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1441.0999999999997</v>
      </c>
      <c r="AG99" s="27">
        <f>B99+C99-AF99</f>
        <v>2047.1000000000001</v>
      </c>
    </row>
    <row r="100" spans="1:33" ht="12.75">
      <c r="A100" s="1" t="s">
        <v>35</v>
      </c>
      <c r="B100" s="2">
        <f aca="true" t="shared" si="25" ref="B100:AD100">B94-B95-B96-B97-B98-B99</f>
        <v>80257.59999999995</v>
      </c>
      <c r="C100" s="2">
        <f t="shared" si="25"/>
        <v>28211.4</v>
      </c>
      <c r="D100" s="2">
        <f t="shared" si="25"/>
        <v>622.6999999999998</v>
      </c>
      <c r="E100" s="2">
        <f t="shared" si="25"/>
        <v>3643.7</v>
      </c>
      <c r="F100" s="2">
        <f t="shared" si="25"/>
        <v>3330.5</v>
      </c>
      <c r="G100" s="2">
        <f t="shared" si="25"/>
        <v>2906.3</v>
      </c>
      <c r="H100" s="2">
        <f t="shared" si="25"/>
        <v>4614</v>
      </c>
      <c r="I100" s="2">
        <f t="shared" si="25"/>
        <v>5618.7</v>
      </c>
      <c r="J100" s="2">
        <f t="shared" si="25"/>
        <v>898.5000000000025</v>
      </c>
      <c r="K100" s="2">
        <f t="shared" si="25"/>
        <v>11719.599999999993</v>
      </c>
      <c r="L100" s="2">
        <f t="shared" si="25"/>
        <v>2200.000000000001</v>
      </c>
      <c r="M100" s="2">
        <f t="shared" si="25"/>
        <v>2540.3999999999996</v>
      </c>
      <c r="N100" s="2">
        <f t="shared" si="25"/>
        <v>17.6</v>
      </c>
      <c r="O100" s="2">
        <f t="shared" si="25"/>
        <v>1972.4</v>
      </c>
      <c r="P100" s="2">
        <f t="shared" si="25"/>
        <v>5027.499999999999</v>
      </c>
      <c r="Q100" s="2">
        <f t="shared" si="25"/>
        <v>4833.299999999999</v>
      </c>
      <c r="R100" s="2">
        <f t="shared" si="25"/>
        <v>2249.8</v>
      </c>
      <c r="S100" s="2">
        <f t="shared" si="25"/>
        <v>14805.199999999999</v>
      </c>
      <c r="T100" s="2">
        <f t="shared" si="25"/>
        <v>1430.3000000000004</v>
      </c>
      <c r="U100" s="2">
        <f t="shared" si="25"/>
        <v>2339.2000000000003</v>
      </c>
      <c r="V100" s="2">
        <f t="shared" si="25"/>
        <v>1352.8999999999999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72122.59999999999</v>
      </c>
      <c r="AG100" s="2">
        <f>AG94-AG95-AG96-AG97-AG98-AG99</f>
        <v>36346.39999999998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3" sqref="A4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60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61</v>
      </c>
      <c r="C4" s="9" t="s">
        <v>18</v>
      </c>
      <c r="D4" s="9">
        <v>3</v>
      </c>
      <c r="E4" s="8">
        <v>4</v>
      </c>
      <c r="F4" s="8">
        <v>5</v>
      </c>
      <c r="G4" s="8">
        <v>10</v>
      </c>
      <c r="H4" s="8">
        <v>11</v>
      </c>
      <c r="I4" s="8">
        <v>12</v>
      </c>
      <c r="J4" s="19">
        <v>13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47839.9</v>
      </c>
      <c r="C7" s="72">
        <v>16178.9</v>
      </c>
      <c r="D7" s="45"/>
      <c r="E7" s="46">
        <v>23919.9</v>
      </c>
      <c r="F7" s="46"/>
      <c r="G7" s="46"/>
      <c r="H7" s="74"/>
      <c r="I7" s="46">
        <v>23920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20449.9</v>
      </c>
      <c r="AF7" s="72"/>
      <c r="AG7" s="48"/>
    </row>
    <row r="8" spans="1:55" ht="18" customHeight="1">
      <c r="A8" s="60" t="s">
        <v>30</v>
      </c>
      <c r="B8" s="40">
        <f>SUM(D8:AB8)</f>
        <v>116118.39999999998</v>
      </c>
      <c r="C8" s="40">
        <v>62408.3</v>
      </c>
      <c r="D8" s="43">
        <v>13596.9</v>
      </c>
      <c r="E8" s="55">
        <v>4702.3</v>
      </c>
      <c r="F8" s="55">
        <v>4713.8</v>
      </c>
      <c r="G8" s="55">
        <v>12501.9</v>
      </c>
      <c r="H8" s="55">
        <v>4616.2</v>
      </c>
      <c r="I8" s="55">
        <v>4248.5</v>
      </c>
      <c r="J8" s="56">
        <v>3576.2</v>
      </c>
      <c r="K8" s="55">
        <v>3291</v>
      </c>
      <c r="L8" s="55">
        <v>7970.8</v>
      </c>
      <c r="M8" s="55">
        <v>5596.1</v>
      </c>
      <c r="N8" s="55">
        <v>3777.2</v>
      </c>
      <c r="O8" s="55">
        <v>4767.8</v>
      </c>
      <c r="P8" s="55">
        <v>10273.1</v>
      </c>
      <c r="Q8" s="55">
        <v>4502.9</v>
      </c>
      <c r="R8" s="55">
        <v>2464.4</v>
      </c>
      <c r="S8" s="57">
        <v>1960.9</v>
      </c>
      <c r="T8" s="57">
        <v>2489</v>
      </c>
      <c r="U8" s="55">
        <v>3485.1</v>
      </c>
      <c r="V8" s="55">
        <v>6919.4</v>
      </c>
      <c r="W8" s="55">
        <v>10664.9</v>
      </c>
      <c r="X8" s="56"/>
      <c r="Y8" s="56"/>
      <c r="Z8" s="56"/>
      <c r="AA8" s="56"/>
      <c r="AB8" s="55"/>
      <c r="AC8" s="23"/>
      <c r="AD8" s="23"/>
      <c r="AE8" s="61">
        <v>86315.6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146948</v>
      </c>
      <c r="C9" s="24">
        <f t="shared" si="0"/>
        <v>74118.99999999999</v>
      </c>
      <c r="D9" s="24">
        <f t="shared" si="0"/>
        <v>2048.8</v>
      </c>
      <c r="E9" s="24">
        <f t="shared" si="0"/>
        <v>4702.299999999999</v>
      </c>
      <c r="F9" s="24">
        <f t="shared" si="0"/>
        <v>3387.8999999999996</v>
      </c>
      <c r="G9" s="24">
        <f t="shared" si="0"/>
        <v>2954.2999999999997</v>
      </c>
      <c r="H9" s="24">
        <f t="shared" si="0"/>
        <v>5349.099999999999</v>
      </c>
      <c r="I9" s="24">
        <f t="shared" si="0"/>
        <v>29713.699999999997</v>
      </c>
      <c r="J9" s="24">
        <f t="shared" si="0"/>
        <v>2286.6</v>
      </c>
      <c r="K9" s="24">
        <f t="shared" si="0"/>
        <v>1365.6000000000001</v>
      </c>
      <c r="L9" s="24">
        <f t="shared" si="0"/>
        <v>1187.1000000000001</v>
      </c>
      <c r="M9" s="24">
        <f t="shared" si="0"/>
        <v>769.7</v>
      </c>
      <c r="N9" s="24">
        <f t="shared" si="0"/>
        <v>0</v>
      </c>
      <c r="O9" s="24">
        <f t="shared" si="0"/>
        <v>1111</v>
      </c>
      <c r="P9" s="24">
        <f t="shared" si="0"/>
        <v>3643.1</v>
      </c>
      <c r="Q9" s="24">
        <f t="shared" si="0"/>
        <v>4502.9</v>
      </c>
      <c r="R9" s="24">
        <f t="shared" si="0"/>
        <v>2464.3999999999996</v>
      </c>
      <c r="S9" s="24">
        <f t="shared" si="0"/>
        <v>1648.3999999999996</v>
      </c>
      <c r="T9" s="24">
        <f t="shared" si="0"/>
        <v>27322.8</v>
      </c>
      <c r="U9" s="24">
        <f t="shared" si="0"/>
        <v>33470.5</v>
      </c>
      <c r="V9" s="24">
        <f t="shared" si="0"/>
        <v>1610.8999999999999</v>
      </c>
      <c r="W9" s="24">
        <f t="shared" si="0"/>
        <v>6240.9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135780</v>
      </c>
      <c r="AG9" s="50">
        <f>AG10+AG15+AG24+AG33+AG47+AG52+AG54+AG61+AG62+AG71+AG72+AG76+AG88+AG81+AG83+AG82+AG69+AG89+AG91+AG90+AG70+AG40+AG92</f>
        <v>85287.00000000003</v>
      </c>
      <c r="AH9" s="49"/>
      <c r="AI9" s="49"/>
    </row>
    <row r="10" spans="1:33" ht="15.75">
      <c r="A10" s="4" t="s">
        <v>4</v>
      </c>
      <c r="B10" s="22">
        <f>13255.7-200-0.3</f>
        <v>13055.400000000001</v>
      </c>
      <c r="C10" s="22">
        <v>25650.6</v>
      </c>
      <c r="D10" s="22">
        <v>11.1</v>
      </c>
      <c r="E10" s="22">
        <v>73.5</v>
      </c>
      <c r="F10" s="22">
        <v>89.9</v>
      </c>
      <c r="G10" s="22">
        <v>1</v>
      </c>
      <c r="H10" s="22">
        <v>1227.5</v>
      </c>
      <c r="I10" s="22">
        <v>1388.6</v>
      </c>
      <c r="J10" s="25">
        <v>65.7</v>
      </c>
      <c r="K10" s="22">
        <v>32.7</v>
      </c>
      <c r="L10" s="22">
        <v>7.5</v>
      </c>
      <c r="M10" s="22">
        <v>39.6</v>
      </c>
      <c r="N10" s="22"/>
      <c r="O10" s="27">
        <f>25.7+4.6</f>
        <v>30.299999999999997</v>
      </c>
      <c r="P10" s="22">
        <v>117.3</v>
      </c>
      <c r="Q10" s="22">
        <v>8</v>
      </c>
      <c r="R10" s="22">
        <v>19.8</v>
      </c>
      <c r="S10" s="26">
        <v>253.2</v>
      </c>
      <c r="T10" s="26">
        <v>5.1</v>
      </c>
      <c r="U10" s="26">
        <v>3240</v>
      </c>
      <c r="V10" s="26">
        <v>1249.1</v>
      </c>
      <c r="W10" s="26">
        <v>6.5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7866.4</v>
      </c>
      <c r="AG10" s="27">
        <f>B10+C10-AF10</f>
        <v>30839.6</v>
      </c>
    </row>
    <row r="11" spans="1:33" ht="15.75">
      <c r="A11" s="3" t="s">
        <v>5</v>
      </c>
      <c r="B11" s="22">
        <f>12639.7-200</f>
        <v>12439.7</v>
      </c>
      <c r="C11" s="22">
        <v>23329.1</v>
      </c>
      <c r="D11" s="22">
        <v>0.3</v>
      </c>
      <c r="E11" s="22">
        <v>41.9</v>
      </c>
      <c r="F11" s="22">
        <v>36.8</v>
      </c>
      <c r="G11" s="22"/>
      <c r="H11" s="22">
        <v>1215.7</v>
      </c>
      <c r="I11" s="22">
        <v>1388.4</v>
      </c>
      <c r="J11" s="26"/>
      <c r="K11" s="22">
        <v>14.2</v>
      </c>
      <c r="L11" s="22"/>
      <c r="M11" s="22"/>
      <c r="N11" s="22"/>
      <c r="O11" s="27"/>
      <c r="P11" s="22">
        <v>95.4</v>
      </c>
      <c r="Q11" s="22">
        <v>7.9</v>
      </c>
      <c r="R11" s="22"/>
      <c r="S11" s="26">
        <v>252.5</v>
      </c>
      <c r="T11" s="26"/>
      <c r="U11" s="26">
        <v>3183.2</v>
      </c>
      <c r="V11" s="26">
        <v>1157.6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7393.9</v>
      </c>
      <c r="AG11" s="27">
        <f>B11+C11-AF11</f>
        <v>28374.9</v>
      </c>
    </row>
    <row r="12" spans="1:33" ht="15.75">
      <c r="A12" s="3" t="s">
        <v>2</v>
      </c>
      <c r="B12" s="36">
        <v>88.1</v>
      </c>
      <c r="C12" s="22">
        <v>422</v>
      </c>
      <c r="D12" s="22"/>
      <c r="E12" s="22"/>
      <c r="F12" s="22"/>
      <c r="G12" s="22"/>
      <c r="H12" s="22"/>
      <c r="I12" s="22"/>
      <c r="J12" s="26">
        <v>1.4</v>
      </c>
      <c r="K12" s="22"/>
      <c r="L12" s="22">
        <v>3.5</v>
      </c>
      <c r="M12" s="22"/>
      <c r="N12" s="22"/>
      <c r="O12" s="27">
        <v>0.9</v>
      </c>
      <c r="P12" s="22"/>
      <c r="Q12" s="22"/>
      <c r="R12" s="22"/>
      <c r="S12" s="26"/>
      <c r="T12" s="26"/>
      <c r="U12" s="26"/>
      <c r="V12" s="26">
        <v>23.5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29.3</v>
      </c>
      <c r="AG12" s="27">
        <f>B12+C12-AF12</f>
        <v>480.8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527.6000000000007</v>
      </c>
      <c r="C14" s="22">
        <f t="shared" si="2"/>
        <v>1899.5</v>
      </c>
      <c r="D14" s="22">
        <f t="shared" si="2"/>
        <v>10.799999999999999</v>
      </c>
      <c r="E14" s="22">
        <f t="shared" si="2"/>
        <v>31.6</v>
      </c>
      <c r="F14" s="22">
        <f t="shared" si="2"/>
        <v>53.10000000000001</v>
      </c>
      <c r="G14" s="22">
        <f t="shared" si="2"/>
        <v>1</v>
      </c>
      <c r="H14" s="22">
        <f t="shared" si="2"/>
        <v>11.799999999999955</v>
      </c>
      <c r="I14" s="22">
        <f t="shared" si="2"/>
        <v>0.1999999999998181</v>
      </c>
      <c r="J14" s="22">
        <f t="shared" si="2"/>
        <v>64.3</v>
      </c>
      <c r="K14" s="22">
        <f t="shared" si="2"/>
        <v>18.500000000000004</v>
      </c>
      <c r="L14" s="22">
        <f t="shared" si="2"/>
        <v>4</v>
      </c>
      <c r="M14" s="22">
        <f t="shared" si="2"/>
        <v>39.6</v>
      </c>
      <c r="N14" s="22">
        <f t="shared" si="2"/>
        <v>0</v>
      </c>
      <c r="O14" s="22">
        <f t="shared" si="2"/>
        <v>29.4</v>
      </c>
      <c r="P14" s="22">
        <f t="shared" si="2"/>
        <v>21.89999999999999</v>
      </c>
      <c r="Q14" s="22">
        <f t="shared" si="2"/>
        <v>0.09999999999999964</v>
      </c>
      <c r="R14" s="22">
        <f t="shared" si="2"/>
        <v>19.8</v>
      </c>
      <c r="S14" s="22">
        <f t="shared" si="2"/>
        <v>0.6999999999999886</v>
      </c>
      <c r="T14" s="22">
        <f t="shared" si="2"/>
        <v>5.1</v>
      </c>
      <c r="U14" s="22">
        <f t="shared" si="2"/>
        <v>56.80000000000018</v>
      </c>
      <c r="V14" s="22">
        <f t="shared" si="2"/>
        <v>68</v>
      </c>
      <c r="W14" s="22">
        <f t="shared" si="2"/>
        <v>6.5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443.2</v>
      </c>
      <c r="AG14" s="27">
        <f>AG10-AG11-AG12-AG13</f>
        <v>1983.8999999999971</v>
      </c>
    </row>
    <row r="15" spans="1:33" ht="15" customHeight="1">
      <c r="A15" s="4" t="s">
        <v>6</v>
      </c>
      <c r="B15" s="22">
        <v>63206.7</v>
      </c>
      <c r="C15" s="22">
        <v>15040.2</v>
      </c>
      <c r="D15" s="44"/>
      <c r="E15" s="44">
        <v>827.7</v>
      </c>
      <c r="F15" s="22">
        <v>1236.3</v>
      </c>
      <c r="G15" s="22">
        <v>265</v>
      </c>
      <c r="H15" s="22">
        <v>1268.8</v>
      </c>
      <c r="I15" s="22">
        <v>15534.8</v>
      </c>
      <c r="J15" s="26">
        <v>1302.5</v>
      </c>
      <c r="K15" s="22">
        <v>286</v>
      </c>
      <c r="L15" s="22"/>
      <c r="M15" s="22">
        <v>428.4</v>
      </c>
      <c r="N15" s="22"/>
      <c r="O15" s="27"/>
      <c r="P15" s="22">
        <v>1552.3</v>
      </c>
      <c r="Q15" s="27">
        <v>442.8</v>
      </c>
      <c r="R15" s="22">
        <v>543</v>
      </c>
      <c r="S15" s="26">
        <v>160.5</v>
      </c>
      <c r="T15" s="26">
        <v>19088.9</v>
      </c>
      <c r="U15" s="26">
        <v>16858.4</v>
      </c>
      <c r="V15" s="26">
        <v>0.5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59795.9</v>
      </c>
      <c r="AG15" s="27">
        <f aca="true" t="shared" si="3" ref="AG15:AG31">B15+C15-AF15</f>
        <v>18450.999999999993</v>
      </c>
    </row>
    <row r="16" spans="1:34" s="70" customFormat="1" ht="15" customHeight="1">
      <c r="A16" s="65" t="s">
        <v>38</v>
      </c>
      <c r="B16" s="66">
        <v>27983.6</v>
      </c>
      <c r="C16" s="66">
        <v>3852.4</v>
      </c>
      <c r="D16" s="67"/>
      <c r="E16" s="67"/>
      <c r="F16" s="66"/>
      <c r="G16" s="66"/>
      <c r="H16" s="66"/>
      <c r="I16" s="66">
        <v>7861.7</v>
      </c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>
        <v>17351.9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25213.600000000002</v>
      </c>
      <c r="AG16" s="71">
        <f t="shared" si="3"/>
        <v>6622.399999999998</v>
      </c>
      <c r="AH16" s="75"/>
    </row>
    <row r="17" spans="1:34" ht="15.75">
      <c r="A17" s="3" t="s">
        <v>5</v>
      </c>
      <c r="B17" s="22">
        <v>54132.8</v>
      </c>
      <c r="C17" s="22">
        <v>4404.8</v>
      </c>
      <c r="D17" s="22"/>
      <c r="E17" s="22"/>
      <c r="F17" s="22"/>
      <c r="G17" s="22"/>
      <c r="H17" s="22"/>
      <c r="I17" s="22">
        <v>15042.4</v>
      </c>
      <c r="J17" s="26"/>
      <c r="K17" s="22"/>
      <c r="L17" s="22"/>
      <c r="M17" s="22"/>
      <c r="N17" s="22"/>
      <c r="O17" s="27"/>
      <c r="P17" s="22"/>
      <c r="Q17" s="27"/>
      <c r="R17" s="22"/>
      <c r="S17" s="26">
        <v>0.7</v>
      </c>
      <c r="T17" s="26">
        <v>17351.9</v>
      </c>
      <c r="U17" s="26">
        <v>16553.3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48948.3</v>
      </c>
      <c r="AG17" s="27">
        <f t="shared" si="3"/>
        <v>9589.300000000003</v>
      </c>
      <c r="AH17" s="6"/>
    </row>
    <row r="18" spans="1:33" ht="15.75">
      <c r="A18" s="3" t="s">
        <v>3</v>
      </c>
      <c r="B18" s="22">
        <v>10.6</v>
      </c>
      <c r="C18" s="22">
        <v>17.5</v>
      </c>
      <c r="D18" s="22"/>
      <c r="E18" s="22"/>
      <c r="F18" s="22"/>
      <c r="G18" s="22"/>
      <c r="H18" s="22"/>
      <c r="I18" s="22"/>
      <c r="J18" s="26">
        <v>1.3</v>
      </c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2.8</v>
      </c>
      <c r="AG18" s="27">
        <f t="shared" si="3"/>
        <v>25.3</v>
      </c>
    </row>
    <row r="19" spans="1:33" ht="15.75">
      <c r="A19" s="3" t="s">
        <v>1</v>
      </c>
      <c r="B19" s="22">
        <f>3122.4+877.4</f>
        <v>3999.8</v>
      </c>
      <c r="C19" s="22">
        <v>1991.6</v>
      </c>
      <c r="D19" s="22"/>
      <c r="E19" s="22"/>
      <c r="F19" s="22">
        <v>1021.5</v>
      </c>
      <c r="G19" s="22">
        <v>165.5</v>
      </c>
      <c r="H19" s="22">
        <v>347.2</v>
      </c>
      <c r="I19" s="22">
        <v>151.6</v>
      </c>
      <c r="J19" s="26">
        <v>529.6</v>
      </c>
      <c r="K19" s="22">
        <v>272.9</v>
      </c>
      <c r="L19" s="22"/>
      <c r="M19" s="22">
        <v>413.9</v>
      </c>
      <c r="N19" s="22"/>
      <c r="O19" s="27"/>
      <c r="P19" s="22">
        <v>572.8</v>
      </c>
      <c r="Q19" s="27">
        <v>139.4</v>
      </c>
      <c r="R19" s="22">
        <v>499.7</v>
      </c>
      <c r="S19" s="26">
        <v>159.8</v>
      </c>
      <c r="T19" s="26">
        <v>295.7</v>
      </c>
      <c r="U19" s="26">
        <v>243.4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4813</v>
      </c>
      <c r="AG19" s="27">
        <f t="shared" si="3"/>
        <v>1178.3999999999996</v>
      </c>
    </row>
    <row r="20" spans="1:33" ht="15.75">
      <c r="A20" s="3" t="s">
        <v>2</v>
      </c>
      <c r="B20" s="22">
        <f>3225.5-877.5</f>
        <v>2348</v>
      </c>
      <c r="C20" s="22">
        <v>5025.3</v>
      </c>
      <c r="D20" s="22"/>
      <c r="E20" s="22">
        <v>774.7</v>
      </c>
      <c r="F20" s="22">
        <v>205.1</v>
      </c>
      <c r="G20" s="22">
        <v>99.5</v>
      </c>
      <c r="H20" s="22">
        <v>800.2</v>
      </c>
      <c r="I20" s="22">
        <v>37.4</v>
      </c>
      <c r="J20" s="26">
        <v>750.1</v>
      </c>
      <c r="K20" s="22">
        <v>11</v>
      </c>
      <c r="L20" s="22"/>
      <c r="M20" s="22"/>
      <c r="N20" s="22"/>
      <c r="O20" s="27"/>
      <c r="P20" s="22">
        <v>129.2</v>
      </c>
      <c r="Q20" s="27">
        <v>176.3</v>
      </c>
      <c r="R20" s="22">
        <v>12.3</v>
      </c>
      <c r="S20" s="26"/>
      <c r="T20" s="26">
        <v>1143.6</v>
      </c>
      <c r="U20" s="26">
        <v>44.2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4183.6</v>
      </c>
      <c r="AG20" s="27">
        <f t="shared" si="3"/>
        <v>3189.7</v>
      </c>
    </row>
    <row r="21" spans="1:33" ht="15.75">
      <c r="A21" s="3" t="s">
        <v>16</v>
      </c>
      <c r="B21" s="22">
        <f>1083.6+110.6-16.9-0.1</f>
        <v>1177.1999999999998</v>
      </c>
      <c r="C21" s="22">
        <v>449.3</v>
      </c>
      <c r="D21" s="22"/>
      <c r="E21" s="22"/>
      <c r="F21" s="22"/>
      <c r="G21" s="22"/>
      <c r="H21" s="22">
        <v>10.9</v>
      </c>
      <c r="I21" s="22">
        <v>298.8</v>
      </c>
      <c r="J21" s="26">
        <v>1.2</v>
      </c>
      <c r="K21" s="22"/>
      <c r="L21" s="22"/>
      <c r="M21" s="22"/>
      <c r="N21" s="22"/>
      <c r="O21" s="27"/>
      <c r="P21" s="22">
        <v>661.3</v>
      </c>
      <c r="Q21" s="27">
        <v>35.2</v>
      </c>
      <c r="R21" s="22"/>
      <c r="S21" s="26"/>
      <c r="T21" s="26"/>
      <c r="U21" s="22"/>
      <c r="V21" s="22">
        <v>0.5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1007.9</v>
      </c>
      <c r="AG21" s="27">
        <f t="shared" si="3"/>
        <v>618.5999999999998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1538.2999999999938</v>
      </c>
      <c r="C23" s="22">
        <f t="shared" si="4"/>
        <v>3151.7000000000007</v>
      </c>
      <c r="D23" s="22">
        <f t="shared" si="4"/>
        <v>0</v>
      </c>
      <c r="E23" s="22">
        <f t="shared" si="4"/>
        <v>53</v>
      </c>
      <c r="F23" s="22">
        <f t="shared" si="4"/>
        <v>9.69999999999996</v>
      </c>
      <c r="G23" s="22">
        <f t="shared" si="4"/>
        <v>0</v>
      </c>
      <c r="H23" s="22">
        <f t="shared" si="4"/>
        <v>110.49999999999986</v>
      </c>
      <c r="I23" s="22">
        <f t="shared" si="4"/>
        <v>4.599999999999625</v>
      </c>
      <c r="J23" s="22">
        <f t="shared" si="4"/>
        <v>20.3</v>
      </c>
      <c r="K23" s="22">
        <f t="shared" si="4"/>
        <v>2.1000000000000227</v>
      </c>
      <c r="L23" s="22">
        <f t="shared" si="4"/>
        <v>0</v>
      </c>
      <c r="M23" s="22">
        <f t="shared" si="4"/>
        <v>14.5</v>
      </c>
      <c r="N23" s="22">
        <f t="shared" si="4"/>
        <v>0</v>
      </c>
      <c r="O23" s="22">
        <f t="shared" si="4"/>
        <v>0</v>
      </c>
      <c r="P23" s="22">
        <f t="shared" si="4"/>
        <v>187.5</v>
      </c>
      <c r="Q23" s="22">
        <f t="shared" si="4"/>
        <v>91.89999999999996</v>
      </c>
      <c r="R23" s="22">
        <f t="shared" si="4"/>
        <v>31.00000000000001</v>
      </c>
      <c r="S23" s="22">
        <f t="shared" si="4"/>
        <v>0</v>
      </c>
      <c r="T23" s="22">
        <f t="shared" si="4"/>
        <v>297.70000000000005</v>
      </c>
      <c r="U23" s="22">
        <f t="shared" si="4"/>
        <v>17.500000000002174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840.3000000000017</v>
      </c>
      <c r="AG23" s="27">
        <f t="shared" si="3"/>
        <v>3849.699999999993</v>
      </c>
    </row>
    <row r="24" spans="1:33" ht="15" customHeight="1">
      <c r="A24" s="4" t="s">
        <v>7</v>
      </c>
      <c r="B24" s="22">
        <f>32673.8+1513.4-3573.2-810.3</f>
        <v>29803.699999999997</v>
      </c>
      <c r="C24" s="22">
        <v>18113.5</v>
      </c>
      <c r="D24" s="22"/>
      <c r="E24" s="22"/>
      <c r="F24" s="22"/>
      <c r="G24" s="22">
        <v>903</v>
      </c>
      <c r="H24" s="22"/>
      <c r="I24" s="22">
        <v>11114.4</v>
      </c>
      <c r="J24" s="26">
        <v>342.6</v>
      </c>
      <c r="K24" s="22"/>
      <c r="L24" s="22"/>
      <c r="M24" s="22"/>
      <c r="N24" s="22"/>
      <c r="O24" s="27"/>
      <c r="P24" s="22">
        <v>1567</v>
      </c>
      <c r="Q24" s="27"/>
      <c r="R24" s="27"/>
      <c r="S24" s="26"/>
      <c r="T24" s="26">
        <v>8098.2</v>
      </c>
      <c r="U24" s="26">
        <v>8184.5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30209.7</v>
      </c>
      <c r="AG24" s="27">
        <f t="shared" si="3"/>
        <v>17707.499999999996</v>
      </c>
    </row>
    <row r="25" spans="1:34" s="70" customFormat="1" ht="15" customHeight="1">
      <c r="A25" s="65" t="s">
        <v>39</v>
      </c>
      <c r="B25" s="66">
        <v>19856.5</v>
      </c>
      <c r="C25" s="66">
        <v>6526.3</v>
      </c>
      <c r="D25" s="66"/>
      <c r="E25" s="66"/>
      <c r="F25" s="66"/>
      <c r="G25" s="66">
        <v>262.3</v>
      </c>
      <c r="H25" s="66"/>
      <c r="I25" s="66">
        <v>9505.1</v>
      </c>
      <c r="J25" s="68">
        <v>342.6</v>
      </c>
      <c r="K25" s="66"/>
      <c r="L25" s="66"/>
      <c r="M25" s="66"/>
      <c r="N25" s="66"/>
      <c r="O25" s="69"/>
      <c r="P25" s="66">
        <v>775.5</v>
      </c>
      <c r="Q25" s="69"/>
      <c r="R25" s="69"/>
      <c r="S25" s="68"/>
      <c r="T25" s="68">
        <v>7463</v>
      </c>
      <c r="U25" s="68"/>
      <c r="V25" s="68">
        <v>6.8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18355.3</v>
      </c>
      <c r="AG25" s="71">
        <f t="shared" si="3"/>
        <v>8027.5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29803.699999999997</v>
      </c>
      <c r="C32" s="22">
        <f t="shared" si="5"/>
        <v>18113.5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903</v>
      </c>
      <c r="H32" s="22">
        <f t="shared" si="5"/>
        <v>0</v>
      </c>
      <c r="I32" s="22">
        <f t="shared" si="5"/>
        <v>11114.4</v>
      </c>
      <c r="J32" s="22">
        <f t="shared" si="5"/>
        <v>342.6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1567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8098.2</v>
      </c>
      <c r="U32" s="22">
        <f t="shared" si="5"/>
        <v>8184.5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30209.7</v>
      </c>
      <c r="AG32" s="27">
        <f>AG24</f>
        <v>17707.499999999996</v>
      </c>
    </row>
    <row r="33" spans="1:33" ht="15" customHeight="1">
      <c r="A33" s="4" t="s">
        <v>8</v>
      </c>
      <c r="B33" s="22">
        <f>610.7</f>
        <v>610.7</v>
      </c>
      <c r="C33" s="22">
        <f>376.5-83.1</f>
        <v>293.4</v>
      </c>
      <c r="D33" s="22"/>
      <c r="E33" s="22"/>
      <c r="F33" s="22"/>
      <c r="G33" s="22"/>
      <c r="H33" s="22">
        <v>9.9</v>
      </c>
      <c r="I33" s="22"/>
      <c r="J33" s="26">
        <v>53</v>
      </c>
      <c r="K33" s="22"/>
      <c r="L33" s="22">
        <v>0.1</v>
      </c>
      <c r="M33" s="22">
        <v>12.7</v>
      </c>
      <c r="N33" s="22"/>
      <c r="O33" s="27"/>
      <c r="P33" s="22"/>
      <c r="Q33" s="27">
        <v>6.3</v>
      </c>
      <c r="R33" s="22"/>
      <c r="S33" s="26"/>
      <c r="T33" s="26">
        <v>29.9</v>
      </c>
      <c r="U33" s="26">
        <v>85.7</v>
      </c>
      <c r="V33" s="26">
        <v>69.4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267</v>
      </c>
      <c r="AG33" s="27">
        <f aca="true" t="shared" si="6" ref="AG33:AG38">B33+C33-AF33</f>
        <v>637.1</v>
      </c>
    </row>
    <row r="34" spans="1:33" ht="15.75">
      <c r="A34" s="3" t="s">
        <v>5</v>
      </c>
      <c r="B34" s="22">
        <v>249.8</v>
      </c>
      <c r="C34" s="22">
        <v>121.3</v>
      </c>
      <c r="D34" s="22"/>
      <c r="E34" s="22"/>
      <c r="F34" s="22"/>
      <c r="G34" s="22"/>
      <c r="H34" s="22"/>
      <c r="I34" s="22"/>
      <c r="J34" s="26">
        <v>53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75.7</v>
      </c>
      <c r="V34" s="26">
        <v>69.4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198.1</v>
      </c>
      <c r="AG34" s="27">
        <f t="shared" si="6"/>
        <v>173.00000000000003</v>
      </c>
    </row>
    <row r="35" spans="1:33" ht="15.75">
      <c r="A35" s="3" t="s">
        <v>1</v>
      </c>
      <c r="B35" s="22">
        <v>337.7</v>
      </c>
      <c r="C35" s="22">
        <v>2.8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.75">
      <c r="A36" s="3" t="s">
        <v>2</v>
      </c>
      <c r="B36" s="44">
        <v>5.9</v>
      </c>
      <c r="C36" s="22">
        <f>52-27</f>
        <v>25</v>
      </c>
      <c r="D36" s="22"/>
      <c r="E36" s="22"/>
      <c r="F36" s="22"/>
      <c r="G36" s="22"/>
      <c r="H36" s="22">
        <v>6.3</v>
      </c>
      <c r="I36" s="22"/>
      <c r="J36" s="26"/>
      <c r="K36" s="22"/>
      <c r="L36" s="22"/>
      <c r="M36" s="22">
        <v>12.6</v>
      </c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18.9</v>
      </c>
      <c r="AG36" s="27">
        <f t="shared" si="6"/>
        <v>12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17.300000000000068</v>
      </c>
      <c r="C39" s="22">
        <f t="shared" si="7"/>
        <v>144.29999999999995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3.6000000000000005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0.1</v>
      </c>
      <c r="M39" s="22">
        <f t="shared" si="7"/>
        <v>0.09999999999999964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6.3</v>
      </c>
      <c r="R39" s="22">
        <f t="shared" si="7"/>
        <v>0</v>
      </c>
      <c r="S39" s="22">
        <f t="shared" si="7"/>
        <v>0</v>
      </c>
      <c r="T39" s="22">
        <f t="shared" si="7"/>
        <v>29.9</v>
      </c>
      <c r="U39" s="22">
        <f t="shared" si="7"/>
        <v>10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50</v>
      </c>
      <c r="AG39" s="27">
        <f>AG33-AG34-AG36-AG38-AG35-AG37</f>
        <v>111.60000000000002</v>
      </c>
    </row>
    <row r="40" spans="1:33" ht="15" customHeight="1">
      <c r="A40" s="4" t="s">
        <v>29</v>
      </c>
      <c r="B40" s="22">
        <v>942.6</v>
      </c>
      <c r="C40" s="22">
        <v>264.4</v>
      </c>
      <c r="D40" s="22"/>
      <c r="E40" s="22"/>
      <c r="F40" s="22"/>
      <c r="G40" s="22"/>
      <c r="H40" s="22"/>
      <c r="I40" s="22">
        <v>350</v>
      </c>
      <c r="J40" s="26"/>
      <c r="K40" s="22"/>
      <c r="L40" s="22"/>
      <c r="M40" s="22"/>
      <c r="N40" s="22"/>
      <c r="O40" s="27"/>
      <c r="P40" s="22"/>
      <c r="Q40" s="27"/>
      <c r="R40" s="27">
        <v>35.2</v>
      </c>
      <c r="S40" s="26"/>
      <c r="T40" s="26">
        <v>5.1</v>
      </c>
      <c r="U40" s="26">
        <v>556.7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947</v>
      </c>
      <c r="AG40" s="27">
        <f aca="true" t="shared" si="8" ref="AG40:AG45">B40+C40-AF40</f>
        <v>260</v>
      </c>
    </row>
    <row r="41" spans="1:34" ht="15.75">
      <c r="A41" s="3" t="s">
        <v>5</v>
      </c>
      <c r="B41" s="22">
        <v>889.2</v>
      </c>
      <c r="C41" s="22">
        <v>107.5</v>
      </c>
      <c r="D41" s="22"/>
      <c r="E41" s="22"/>
      <c r="F41" s="22"/>
      <c r="G41" s="22"/>
      <c r="H41" s="22"/>
      <c r="I41" s="22">
        <v>301.6</v>
      </c>
      <c r="J41" s="26"/>
      <c r="K41" s="22"/>
      <c r="L41" s="22"/>
      <c r="M41" s="22"/>
      <c r="N41" s="22"/>
      <c r="O41" s="27"/>
      <c r="P41" s="22"/>
      <c r="Q41" s="22"/>
      <c r="R41" s="22">
        <v>29.6</v>
      </c>
      <c r="S41" s="26"/>
      <c r="T41" s="26"/>
      <c r="U41" s="26">
        <v>556.7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887.9000000000001</v>
      </c>
      <c r="AG41" s="27">
        <f t="shared" si="8"/>
        <v>108.79999999999995</v>
      </c>
      <c r="AH41" s="6"/>
    </row>
    <row r="42" spans="1:33" ht="15.7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6.1</v>
      </c>
      <c r="D43" s="22"/>
      <c r="E43" s="22"/>
      <c r="F43" s="22"/>
      <c r="G43" s="22"/>
      <c r="H43" s="22"/>
      <c r="I43" s="22">
        <v>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</v>
      </c>
      <c r="AG43" s="27">
        <f t="shared" si="8"/>
        <v>8.1</v>
      </c>
    </row>
    <row r="44" spans="1:33" ht="15.75">
      <c r="A44" s="3" t="s">
        <v>2</v>
      </c>
      <c r="B44" s="22">
        <v>17.6</v>
      </c>
      <c r="C44" s="22">
        <v>120.5</v>
      </c>
      <c r="D44" s="22"/>
      <c r="E44" s="22"/>
      <c r="F44" s="22"/>
      <c r="G44" s="22"/>
      <c r="H44" s="22"/>
      <c r="I44" s="22">
        <v>30.6</v>
      </c>
      <c r="J44" s="26"/>
      <c r="K44" s="22"/>
      <c r="L44" s="22"/>
      <c r="M44" s="22"/>
      <c r="N44" s="22"/>
      <c r="O44" s="27"/>
      <c r="P44" s="22"/>
      <c r="Q44" s="22"/>
      <c r="R44" s="22">
        <v>0.2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30.8</v>
      </c>
      <c r="AG44" s="27">
        <f t="shared" si="8"/>
        <v>107.3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27.799999999999976</v>
      </c>
      <c r="C46" s="22">
        <f t="shared" si="10"/>
        <v>29.899999999999977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11.799999999999976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5.400000000000001</v>
      </c>
      <c r="S46" s="22">
        <f t="shared" si="10"/>
        <v>0</v>
      </c>
      <c r="T46" s="22">
        <f t="shared" si="10"/>
        <v>5.1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22.299999999999976</v>
      </c>
      <c r="AG46" s="27">
        <f>AG40-AG41-AG42-AG43-AG44-AG45</f>
        <v>35.40000000000005</v>
      </c>
    </row>
    <row r="47" spans="1:33" ht="17.25" customHeight="1">
      <c r="A47" s="4" t="s">
        <v>43</v>
      </c>
      <c r="B47" s="36">
        <v>1027.7</v>
      </c>
      <c r="C47" s="22">
        <v>1753.1</v>
      </c>
      <c r="D47" s="22"/>
      <c r="E47" s="28">
        <v>12.8</v>
      </c>
      <c r="F47" s="28">
        <v>4.1</v>
      </c>
      <c r="G47" s="28">
        <v>20</v>
      </c>
      <c r="H47" s="28"/>
      <c r="I47" s="28">
        <v>155.6</v>
      </c>
      <c r="J47" s="29"/>
      <c r="K47" s="28"/>
      <c r="L47" s="28">
        <v>28</v>
      </c>
      <c r="M47" s="28">
        <v>34.9</v>
      </c>
      <c r="N47" s="28"/>
      <c r="O47" s="31">
        <v>33.6</v>
      </c>
      <c r="P47" s="28">
        <v>66.7</v>
      </c>
      <c r="Q47" s="28"/>
      <c r="R47" s="28"/>
      <c r="S47" s="29">
        <v>51.2</v>
      </c>
      <c r="T47" s="29">
        <v>8</v>
      </c>
      <c r="U47" s="28">
        <f>18.9+8.5</f>
        <v>27.4</v>
      </c>
      <c r="V47" s="28">
        <v>19.4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461.69999999999993</v>
      </c>
      <c r="AG47" s="27">
        <f>B47+C47-AF47</f>
        <v>2319.1000000000004</v>
      </c>
    </row>
    <row r="48" spans="1:33" ht="15.75">
      <c r="A48" s="3" t="s">
        <v>5</v>
      </c>
      <c r="B48" s="22">
        <v>37.2</v>
      </c>
      <c r="C48" s="22">
        <v>32.5</v>
      </c>
      <c r="D48" s="22"/>
      <c r="E48" s="28"/>
      <c r="F48" s="28"/>
      <c r="G48" s="28"/>
      <c r="H48" s="28"/>
      <c r="I48" s="28">
        <v>10.9</v>
      </c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18.9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29.799999999999997</v>
      </c>
      <c r="AG48" s="27">
        <f>B48+C48-AF48</f>
        <v>39.900000000000006</v>
      </c>
    </row>
    <row r="49" spans="1:33" ht="15.75">
      <c r="A49" s="3" t="s">
        <v>16</v>
      </c>
      <c r="B49" s="22">
        <f>809.3+2.1</f>
        <v>811.4</v>
      </c>
      <c r="C49" s="22">
        <v>1444.8</v>
      </c>
      <c r="D49" s="22"/>
      <c r="E49" s="22"/>
      <c r="F49" s="22"/>
      <c r="G49" s="22"/>
      <c r="H49" s="22"/>
      <c r="I49" s="22">
        <v>137.3</v>
      </c>
      <c r="J49" s="26"/>
      <c r="K49" s="22"/>
      <c r="L49" s="22">
        <v>5</v>
      </c>
      <c r="M49" s="22">
        <v>34.9</v>
      </c>
      <c r="N49" s="22"/>
      <c r="O49" s="27">
        <v>31.2</v>
      </c>
      <c r="P49" s="22">
        <v>66.7</v>
      </c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275.1</v>
      </c>
      <c r="AG49" s="27">
        <f>B49+C49-AF49</f>
        <v>1981.1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179.10000000000002</v>
      </c>
      <c r="C51" s="22">
        <f t="shared" si="11"/>
        <v>275.79999999999995</v>
      </c>
      <c r="D51" s="22">
        <f t="shared" si="11"/>
        <v>0</v>
      </c>
      <c r="E51" s="22">
        <f t="shared" si="11"/>
        <v>12.8</v>
      </c>
      <c r="F51" s="22">
        <f t="shared" si="11"/>
        <v>4.1</v>
      </c>
      <c r="G51" s="22">
        <f t="shared" si="11"/>
        <v>20</v>
      </c>
      <c r="H51" s="22">
        <f t="shared" si="11"/>
        <v>0</v>
      </c>
      <c r="I51" s="22">
        <f t="shared" si="11"/>
        <v>7.399999999999977</v>
      </c>
      <c r="J51" s="22">
        <f t="shared" si="11"/>
        <v>0</v>
      </c>
      <c r="K51" s="22">
        <f t="shared" si="11"/>
        <v>0</v>
      </c>
      <c r="L51" s="22">
        <f t="shared" si="11"/>
        <v>23</v>
      </c>
      <c r="M51" s="22">
        <f t="shared" si="11"/>
        <v>0</v>
      </c>
      <c r="N51" s="22">
        <f t="shared" si="11"/>
        <v>0</v>
      </c>
      <c r="O51" s="22">
        <f t="shared" si="11"/>
        <v>2.400000000000002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51.2</v>
      </c>
      <c r="T51" s="22">
        <f t="shared" si="11"/>
        <v>8</v>
      </c>
      <c r="U51" s="22">
        <f t="shared" si="11"/>
        <v>8.5</v>
      </c>
      <c r="V51" s="22">
        <f t="shared" si="11"/>
        <v>19.4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156.79999999999998</v>
      </c>
      <c r="AG51" s="27">
        <f>AG47-AG49-AG48</f>
        <v>298.1000000000005</v>
      </c>
    </row>
    <row r="52" spans="1:33" ht="15" customHeight="1">
      <c r="A52" s="4" t="s">
        <v>0</v>
      </c>
      <c r="B52" s="22">
        <f>4677.3-90+186</f>
        <v>4773.3</v>
      </c>
      <c r="C52" s="22">
        <v>3233.6</v>
      </c>
      <c r="D52" s="22"/>
      <c r="E52" s="22">
        <v>297.1</v>
      </c>
      <c r="F52" s="22">
        <v>443.8</v>
      </c>
      <c r="G52" s="22">
        <v>1.5</v>
      </c>
      <c r="H52" s="22"/>
      <c r="I52" s="22">
        <v>285.7</v>
      </c>
      <c r="J52" s="26">
        <v>287.4</v>
      </c>
      <c r="K52" s="22">
        <v>710.5</v>
      </c>
      <c r="L52" s="22">
        <v>251.4</v>
      </c>
      <c r="M52" s="22">
        <v>19.2</v>
      </c>
      <c r="N52" s="22"/>
      <c r="O52" s="27">
        <v>220.1</v>
      </c>
      <c r="P52" s="22">
        <v>250.6</v>
      </c>
      <c r="Q52" s="22">
        <v>2</v>
      </c>
      <c r="R52" s="22">
        <v>615.9</v>
      </c>
      <c r="S52" s="26">
        <v>746.3</v>
      </c>
      <c r="T52" s="26">
        <v>45.6</v>
      </c>
      <c r="U52" s="26">
        <v>466.2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4643.3</v>
      </c>
      <c r="AG52" s="27">
        <f aca="true" t="shared" si="12" ref="AG52:AG59">B52+C52-AF52</f>
        <v>3363.5999999999995</v>
      </c>
    </row>
    <row r="53" spans="1:33" ht="15" customHeight="1">
      <c r="A53" s="3" t="s">
        <v>2</v>
      </c>
      <c r="B53" s="22">
        <f>745+186</f>
        <v>931</v>
      </c>
      <c r="C53" s="22">
        <v>290</v>
      </c>
      <c r="D53" s="22"/>
      <c r="E53" s="22">
        <v>68.7</v>
      </c>
      <c r="F53" s="22"/>
      <c r="G53" s="22"/>
      <c r="H53" s="22"/>
      <c r="I53" s="22">
        <v>11.3</v>
      </c>
      <c r="J53" s="26"/>
      <c r="K53" s="22"/>
      <c r="L53" s="22">
        <v>4.3</v>
      </c>
      <c r="M53" s="22"/>
      <c r="N53" s="22"/>
      <c r="O53" s="27"/>
      <c r="P53" s="22"/>
      <c r="Q53" s="22"/>
      <c r="R53" s="22"/>
      <c r="S53" s="26">
        <v>734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818.3</v>
      </c>
      <c r="AG53" s="27">
        <f t="shared" si="12"/>
        <v>402.70000000000005</v>
      </c>
    </row>
    <row r="54" spans="1:34" ht="15" customHeight="1">
      <c r="A54" s="4" t="s">
        <v>9</v>
      </c>
      <c r="B54" s="44">
        <v>5306.4</v>
      </c>
      <c r="C54" s="22">
        <v>1092.4</v>
      </c>
      <c r="D54" s="22"/>
      <c r="E54" s="22">
        <v>184.8</v>
      </c>
      <c r="F54" s="22"/>
      <c r="G54" s="22"/>
      <c r="H54" s="22">
        <v>1845.3</v>
      </c>
      <c r="I54" s="22">
        <v>418</v>
      </c>
      <c r="J54" s="26">
        <v>103</v>
      </c>
      <c r="K54" s="22"/>
      <c r="L54" s="22"/>
      <c r="M54" s="22">
        <v>36.7</v>
      </c>
      <c r="N54" s="22"/>
      <c r="O54" s="27"/>
      <c r="P54" s="22">
        <v>77.4</v>
      </c>
      <c r="Q54" s="27">
        <v>15</v>
      </c>
      <c r="R54" s="22">
        <v>35.6</v>
      </c>
      <c r="S54" s="26">
        <f>37-18.9</f>
        <v>18.1</v>
      </c>
      <c r="T54" s="26"/>
      <c r="U54" s="26">
        <v>2371.9</v>
      </c>
      <c r="V54" s="26">
        <v>58.8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5164.599999999999</v>
      </c>
      <c r="AG54" s="22">
        <f t="shared" si="12"/>
        <v>1234.1999999999998</v>
      </c>
      <c r="AH54" s="6"/>
    </row>
    <row r="55" spans="1:34" ht="15.75">
      <c r="A55" s="3" t="s">
        <v>5</v>
      </c>
      <c r="B55" s="22">
        <v>4361.4</v>
      </c>
      <c r="C55" s="22">
        <v>253.3</v>
      </c>
      <c r="D55" s="22"/>
      <c r="E55" s="22"/>
      <c r="F55" s="22"/>
      <c r="G55" s="22"/>
      <c r="H55" s="22">
        <v>1784.4</v>
      </c>
      <c r="I55" s="22">
        <v>235.6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>
        <v>2357.6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4377.6</v>
      </c>
      <c r="AG55" s="22">
        <f t="shared" si="12"/>
        <v>237.09999999999945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165.7-73.7</f>
        <v>91.99999999999999</v>
      </c>
      <c r="C57" s="22">
        <v>66.2</v>
      </c>
      <c r="D57" s="22"/>
      <c r="E57" s="22"/>
      <c r="F57" s="22"/>
      <c r="G57" s="22"/>
      <c r="H57" s="22"/>
      <c r="I57" s="22">
        <v>53.7</v>
      </c>
      <c r="J57" s="26"/>
      <c r="K57" s="22"/>
      <c r="L57" s="22"/>
      <c r="M57" s="22"/>
      <c r="N57" s="22"/>
      <c r="O57" s="27"/>
      <c r="P57" s="22"/>
      <c r="Q57" s="27"/>
      <c r="R57" s="22">
        <v>13.4</v>
      </c>
      <c r="S57" s="26"/>
      <c r="T57" s="26"/>
      <c r="U57" s="26"/>
      <c r="V57" s="26">
        <v>10.7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77.80000000000001</v>
      </c>
      <c r="AG57" s="22">
        <f t="shared" si="12"/>
        <v>80.39999999999998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>
        <v>5.1</v>
      </c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847.9</v>
      </c>
      <c r="C60" s="22">
        <f t="shared" si="13"/>
        <v>772.9000000000001</v>
      </c>
      <c r="D60" s="22">
        <f t="shared" si="13"/>
        <v>0</v>
      </c>
      <c r="E60" s="22">
        <f t="shared" si="13"/>
        <v>184.8</v>
      </c>
      <c r="F60" s="22">
        <f t="shared" si="13"/>
        <v>0</v>
      </c>
      <c r="G60" s="22">
        <f t="shared" si="13"/>
        <v>0</v>
      </c>
      <c r="H60" s="22">
        <f t="shared" si="13"/>
        <v>60.899999999999864</v>
      </c>
      <c r="I60" s="22">
        <f t="shared" si="13"/>
        <v>123.6</v>
      </c>
      <c r="J60" s="22">
        <f t="shared" si="13"/>
        <v>103</v>
      </c>
      <c r="K60" s="22">
        <f t="shared" si="13"/>
        <v>0</v>
      </c>
      <c r="L60" s="22">
        <f t="shared" si="13"/>
        <v>0</v>
      </c>
      <c r="M60" s="22">
        <f t="shared" si="13"/>
        <v>36.7</v>
      </c>
      <c r="N60" s="22">
        <f t="shared" si="13"/>
        <v>0</v>
      </c>
      <c r="O60" s="22">
        <f t="shared" si="13"/>
        <v>0</v>
      </c>
      <c r="P60" s="22">
        <f t="shared" si="13"/>
        <v>77.4</v>
      </c>
      <c r="Q60" s="22">
        <f t="shared" si="13"/>
        <v>15</v>
      </c>
      <c r="R60" s="22">
        <f t="shared" si="13"/>
        <v>22.200000000000003</v>
      </c>
      <c r="S60" s="22">
        <f t="shared" si="13"/>
        <v>18.1</v>
      </c>
      <c r="T60" s="22">
        <f t="shared" si="13"/>
        <v>0</v>
      </c>
      <c r="U60" s="22">
        <f t="shared" si="13"/>
        <v>14.300000000000182</v>
      </c>
      <c r="V60" s="22">
        <f t="shared" si="13"/>
        <v>48.099999999999994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704.0999999999991</v>
      </c>
      <c r="AG60" s="22">
        <f>AG54-AG55-AG57-AG59-AG56-AG58</f>
        <v>916.7000000000004</v>
      </c>
    </row>
    <row r="61" spans="1:33" ht="15" customHeight="1">
      <c r="A61" s="4" t="s">
        <v>10</v>
      </c>
      <c r="B61" s="22">
        <f>152.3+35.8</f>
        <v>188.10000000000002</v>
      </c>
      <c r="C61" s="22">
        <v>89.2</v>
      </c>
      <c r="D61" s="22"/>
      <c r="E61" s="22"/>
      <c r="F61" s="22">
        <v>35</v>
      </c>
      <c r="G61" s="22"/>
      <c r="H61" s="22"/>
      <c r="I61" s="22">
        <v>11.8</v>
      </c>
      <c r="J61" s="26">
        <v>22.6</v>
      </c>
      <c r="K61" s="22"/>
      <c r="L61" s="22">
        <v>27.4</v>
      </c>
      <c r="M61" s="22"/>
      <c r="N61" s="22"/>
      <c r="O61" s="27"/>
      <c r="P61" s="22">
        <v>6.5</v>
      </c>
      <c r="Q61" s="27"/>
      <c r="R61" s="22">
        <v>3.2</v>
      </c>
      <c r="S61" s="26"/>
      <c r="T61" s="26"/>
      <c r="U61" s="26">
        <v>63.8</v>
      </c>
      <c r="V61" s="26">
        <v>35.8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206.10000000000002</v>
      </c>
      <c r="AG61" s="22">
        <f aca="true" t="shared" si="15" ref="AG61:AG67">B61+C61-AF61</f>
        <v>71.19999999999999</v>
      </c>
    </row>
    <row r="62" spans="1:33" ht="15" customHeight="1">
      <c r="A62" s="4" t="s">
        <v>11</v>
      </c>
      <c r="B62" s="22">
        <f>2654+83.1</f>
        <v>2737.1</v>
      </c>
      <c r="C62" s="22">
        <v>1163.5</v>
      </c>
      <c r="D62" s="22"/>
      <c r="E62" s="22"/>
      <c r="F62" s="22"/>
      <c r="G62" s="22"/>
      <c r="H62" s="22">
        <v>163.9</v>
      </c>
      <c r="I62" s="22">
        <v>403</v>
      </c>
      <c r="J62" s="26">
        <v>106.7</v>
      </c>
      <c r="K62" s="22"/>
      <c r="L62" s="22">
        <v>40.2</v>
      </c>
      <c r="M62" s="22"/>
      <c r="N62" s="22"/>
      <c r="O62" s="27"/>
      <c r="P62" s="22"/>
      <c r="Q62" s="27">
        <v>97.2</v>
      </c>
      <c r="R62" s="22"/>
      <c r="S62" s="26"/>
      <c r="T62" s="26">
        <v>39.2</v>
      </c>
      <c r="U62" s="26">
        <v>1124</v>
      </c>
      <c r="V62" s="26">
        <v>104.3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2078.5000000000005</v>
      </c>
      <c r="AG62" s="22">
        <f t="shared" si="15"/>
        <v>1822.0999999999995</v>
      </c>
    </row>
    <row r="63" spans="1:34" ht="15.75">
      <c r="A63" s="3" t="s">
        <v>5</v>
      </c>
      <c r="B63" s="22">
        <v>1675.7</v>
      </c>
      <c r="C63" s="22">
        <v>28.4</v>
      </c>
      <c r="D63" s="22"/>
      <c r="E63" s="22"/>
      <c r="F63" s="22"/>
      <c r="G63" s="22"/>
      <c r="H63" s="22"/>
      <c r="I63" s="22">
        <v>403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795.7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1198.7</v>
      </c>
      <c r="AG63" s="22">
        <f t="shared" si="15"/>
        <v>505.4000000000001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78.1</v>
      </c>
      <c r="C65" s="22">
        <v>57.3</v>
      </c>
      <c r="D65" s="22"/>
      <c r="E65" s="22"/>
      <c r="F65" s="22"/>
      <c r="G65" s="22"/>
      <c r="H65" s="22">
        <v>18.2</v>
      </c>
      <c r="I65" s="22"/>
      <c r="J65" s="26"/>
      <c r="K65" s="22"/>
      <c r="L65" s="22">
        <v>4.3</v>
      </c>
      <c r="M65" s="22"/>
      <c r="N65" s="22"/>
      <c r="O65" s="27"/>
      <c r="P65" s="22"/>
      <c r="Q65" s="27">
        <v>27.9</v>
      </c>
      <c r="R65" s="22"/>
      <c r="S65" s="26"/>
      <c r="T65" s="26">
        <v>3.9</v>
      </c>
      <c r="U65" s="26">
        <v>3</v>
      </c>
      <c r="V65" s="26">
        <v>21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78.3</v>
      </c>
      <c r="AG65" s="22">
        <f t="shared" si="15"/>
        <v>57.09999999999998</v>
      </c>
      <c r="AH65" s="6"/>
    </row>
    <row r="66" spans="1:33" ht="15.75">
      <c r="A66" s="3" t="s">
        <v>2</v>
      </c>
      <c r="B66" s="22">
        <f>32.9-27</f>
        <v>5.899999999999999</v>
      </c>
      <c r="C66" s="22">
        <v>153.6</v>
      </c>
      <c r="D66" s="22"/>
      <c r="E66" s="22"/>
      <c r="F66" s="22"/>
      <c r="G66" s="22"/>
      <c r="H66" s="22">
        <v>14.3</v>
      </c>
      <c r="I66" s="22"/>
      <c r="J66" s="26"/>
      <c r="K66" s="22"/>
      <c r="L66" s="22">
        <v>2.8</v>
      </c>
      <c r="M66" s="22"/>
      <c r="N66" s="22"/>
      <c r="O66" s="27"/>
      <c r="P66" s="22"/>
      <c r="Q66" s="22">
        <v>3</v>
      </c>
      <c r="R66" s="22"/>
      <c r="S66" s="26"/>
      <c r="T66" s="26">
        <v>2.4</v>
      </c>
      <c r="U66" s="26">
        <v>0.3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22.8</v>
      </c>
      <c r="AG66" s="22">
        <f t="shared" si="15"/>
        <v>136.7</v>
      </c>
    </row>
    <row r="67" spans="1:33" ht="15.75">
      <c r="A67" s="3" t="s">
        <v>16</v>
      </c>
      <c r="B67" s="22">
        <f>43.2-16.2</f>
        <v>27.000000000000004</v>
      </c>
      <c r="C67" s="22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>
        <v>40</v>
      </c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0</v>
      </c>
    </row>
    <row r="68" spans="1:33" ht="15.75">
      <c r="A68" s="3" t="s">
        <v>23</v>
      </c>
      <c r="B68" s="22">
        <f aca="true" t="shared" si="16" ref="B68:AD68">B62-B63-B66-B67-B65-B64</f>
        <v>950.3999999999997</v>
      </c>
      <c r="C68" s="22">
        <f t="shared" si="16"/>
        <v>911.1999999999999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131.4</v>
      </c>
      <c r="I68" s="22">
        <f t="shared" si="16"/>
        <v>0</v>
      </c>
      <c r="J68" s="22">
        <f t="shared" si="16"/>
        <v>106.7</v>
      </c>
      <c r="K68" s="22">
        <f t="shared" si="16"/>
        <v>0</v>
      </c>
      <c r="L68" s="22">
        <f t="shared" si="16"/>
        <v>33.10000000000001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26.300000000000004</v>
      </c>
      <c r="R68" s="22">
        <f t="shared" si="16"/>
        <v>0</v>
      </c>
      <c r="S68" s="22">
        <f t="shared" si="16"/>
        <v>0</v>
      </c>
      <c r="T68" s="22">
        <f t="shared" si="16"/>
        <v>32.900000000000006</v>
      </c>
      <c r="U68" s="22">
        <f t="shared" si="16"/>
        <v>324.99999999999994</v>
      </c>
      <c r="V68" s="22">
        <f t="shared" si="16"/>
        <v>83.3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738.7</v>
      </c>
      <c r="AG68" s="22">
        <f>AG62-AG63-AG66-AG67-AG65-AG64</f>
        <v>1122.8999999999994</v>
      </c>
    </row>
    <row r="69" spans="1:33" ht="31.5">
      <c r="A69" s="4" t="s">
        <v>46</v>
      </c>
      <c r="B69" s="22">
        <f>3330.8-980</f>
        <v>2350.8</v>
      </c>
      <c r="C69" s="22">
        <v>1156.7</v>
      </c>
      <c r="D69" s="22"/>
      <c r="E69" s="22">
        <v>661.9</v>
      </c>
      <c r="F69" s="22"/>
      <c r="G69" s="22">
        <v>934</v>
      </c>
      <c r="H69" s="22"/>
      <c r="I69" s="22"/>
      <c r="J69" s="26"/>
      <c r="K69" s="22"/>
      <c r="L69" s="22"/>
      <c r="M69" s="22"/>
      <c r="N69" s="22"/>
      <c r="O69" s="22"/>
      <c r="P69" s="22"/>
      <c r="Q69" s="22">
        <v>1328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2923.9</v>
      </c>
      <c r="AG69" s="30">
        <f aca="true" t="shared" si="17" ref="AG69:AG92">B69+C69-AF69</f>
        <v>583.5999999999999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38.3</v>
      </c>
      <c r="D71" s="28"/>
      <c r="E71" s="28"/>
      <c r="F71" s="28"/>
      <c r="G71" s="28"/>
      <c r="H71" s="28"/>
      <c r="I71" s="28"/>
      <c r="J71" s="29"/>
      <c r="K71" s="28"/>
      <c r="L71" s="28">
        <v>800.9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800.9</v>
      </c>
      <c r="AG71" s="30">
        <f t="shared" si="17"/>
        <v>62.299999999999955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906.7-20+200-35.8+0.6</f>
        <v>1051.5</v>
      </c>
      <c r="C72" s="22">
        <v>2575.6</v>
      </c>
      <c r="D72" s="22"/>
      <c r="E72" s="22">
        <v>115.6</v>
      </c>
      <c r="F72" s="22">
        <v>22.6</v>
      </c>
      <c r="G72" s="22">
        <v>10.7</v>
      </c>
      <c r="H72" s="22"/>
      <c r="I72" s="22">
        <v>9.4</v>
      </c>
      <c r="J72" s="26">
        <v>3.1</v>
      </c>
      <c r="K72" s="22">
        <v>47</v>
      </c>
      <c r="L72" s="22">
        <v>26.9</v>
      </c>
      <c r="M72" s="22">
        <v>3.5</v>
      </c>
      <c r="N72" s="22"/>
      <c r="O72" s="22"/>
      <c r="P72" s="22">
        <f>3.1+2.2</f>
        <v>5.300000000000001</v>
      </c>
      <c r="Q72" s="27"/>
      <c r="R72" s="22">
        <v>0.1</v>
      </c>
      <c r="S72" s="26">
        <v>4.1</v>
      </c>
      <c r="T72" s="26">
        <v>2.8</v>
      </c>
      <c r="U72" s="26">
        <v>241.3</v>
      </c>
      <c r="V72" s="26">
        <v>18.6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511</v>
      </c>
      <c r="AG72" s="30">
        <f t="shared" si="17"/>
        <v>3116.1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100.9</v>
      </c>
      <c r="C74" s="22">
        <v>877.4</v>
      </c>
      <c r="D74" s="22"/>
      <c r="E74" s="22">
        <v>40.6</v>
      </c>
      <c r="F74" s="22">
        <v>14.7</v>
      </c>
      <c r="G74" s="22">
        <v>2.7</v>
      </c>
      <c r="H74" s="22"/>
      <c r="I74" s="22"/>
      <c r="J74" s="26"/>
      <c r="K74" s="22"/>
      <c r="L74" s="22">
        <v>1.2</v>
      </c>
      <c r="M74" s="22"/>
      <c r="N74" s="22"/>
      <c r="O74" s="22"/>
      <c r="P74" s="22"/>
      <c r="Q74" s="27"/>
      <c r="R74" s="22"/>
      <c r="S74" s="26"/>
      <c r="T74" s="26"/>
      <c r="U74" s="26"/>
      <c r="V74" s="26">
        <v>16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75.2</v>
      </c>
      <c r="AG74" s="30">
        <f t="shared" si="17"/>
        <v>903.0999999999999</v>
      </c>
    </row>
    <row r="75" spans="1:33" ht="15" customHeight="1">
      <c r="A75" s="3" t="s">
        <v>16</v>
      </c>
      <c r="B75" s="22">
        <f>60+71.8</f>
        <v>131.8</v>
      </c>
      <c r="C75" s="22">
        <v>140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265.40000000000003</v>
      </c>
    </row>
    <row r="76" spans="1:33" s="11" customFormat="1" ht="15.75">
      <c r="A76" s="12" t="s">
        <v>49</v>
      </c>
      <c r="B76" s="22">
        <v>131.3</v>
      </c>
      <c r="C76" s="22">
        <f>158.3-45</f>
        <v>113.30000000000001</v>
      </c>
      <c r="D76" s="22"/>
      <c r="E76" s="28">
        <v>16.7</v>
      </c>
      <c r="F76" s="28"/>
      <c r="G76" s="28"/>
      <c r="H76" s="28"/>
      <c r="I76" s="28">
        <v>42.4</v>
      </c>
      <c r="J76" s="29"/>
      <c r="K76" s="28"/>
      <c r="L76" s="28">
        <v>4.7</v>
      </c>
      <c r="M76" s="28"/>
      <c r="N76" s="28"/>
      <c r="O76" s="28">
        <v>8</v>
      </c>
      <c r="P76" s="28"/>
      <c r="Q76" s="31"/>
      <c r="R76" s="28"/>
      <c r="S76" s="29"/>
      <c r="T76" s="29"/>
      <c r="U76" s="28"/>
      <c r="V76" s="28">
        <v>55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126.8</v>
      </c>
      <c r="AG76" s="30">
        <f t="shared" si="17"/>
        <v>117.80000000000003</v>
      </c>
    </row>
    <row r="77" spans="1:33" s="11" customFormat="1" ht="15.75">
      <c r="A77" s="3" t="s">
        <v>5</v>
      </c>
      <c r="B77" s="22">
        <v>89.5</v>
      </c>
      <c r="C77" s="22">
        <v>0.6</v>
      </c>
      <c r="D77" s="22"/>
      <c r="E77" s="28">
        <v>8.5</v>
      </c>
      <c r="F77" s="28"/>
      <c r="G77" s="28"/>
      <c r="H77" s="28"/>
      <c r="I77" s="28">
        <v>28</v>
      </c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53.1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89.6</v>
      </c>
      <c r="AG77" s="30">
        <f t="shared" si="17"/>
        <v>0.5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6.8</v>
      </c>
      <c r="D80" s="22"/>
      <c r="E80" s="28">
        <v>1</v>
      </c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1</v>
      </c>
      <c r="AG80" s="30">
        <f t="shared" si="17"/>
        <v>6.1</v>
      </c>
    </row>
    <row r="81" spans="1:33" s="11" customFormat="1" ht="15.7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59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7450-656.4-186-4435.3</f>
        <v>2172.3</v>
      </c>
      <c r="C89" s="22">
        <v>1776.4</v>
      </c>
      <c r="D89" s="22"/>
      <c r="E89" s="22">
        <v>187.5</v>
      </c>
      <c r="F89" s="22">
        <v>243.6</v>
      </c>
      <c r="G89" s="22"/>
      <c r="H89" s="22">
        <v>833.7</v>
      </c>
      <c r="I89" s="22"/>
      <c r="J89" s="22"/>
      <c r="K89" s="22">
        <v>134.4</v>
      </c>
      <c r="L89" s="22"/>
      <c r="M89" s="22">
        <v>194.7</v>
      </c>
      <c r="N89" s="22"/>
      <c r="O89" s="22"/>
      <c r="P89" s="22"/>
      <c r="Q89" s="22"/>
      <c r="R89" s="22">
        <v>0.6</v>
      </c>
      <c r="S89" s="26"/>
      <c r="T89" s="26"/>
      <c r="U89" s="22">
        <v>250.6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1845.1000000000001</v>
      </c>
      <c r="AG89" s="22">
        <f t="shared" si="17"/>
        <v>2103.6000000000004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>
        <v>819.1</v>
      </c>
      <c r="H90" s="22"/>
      <c r="I90" s="22"/>
      <c r="J90" s="22"/>
      <c r="K90" s="22"/>
      <c r="L90" s="22"/>
      <c r="M90" s="22"/>
      <c r="N90" s="22"/>
      <c r="O90" s="22">
        <v>819</v>
      </c>
      <c r="P90" s="22"/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f>3233.3-1513.4</f>
        <v>1719.9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2553.3</v>
      </c>
      <c r="AH91" s="11"/>
    </row>
    <row r="92" spans="1:34" ht="15.75">
      <c r="A92" s="4" t="s">
        <v>37</v>
      </c>
      <c r="B92" s="22">
        <f>5675+155+3573.2+656.4+980+4435.4</f>
        <v>15475</v>
      </c>
      <c r="C92" s="22">
        <v>0</v>
      </c>
      <c r="D92" s="22">
        <v>2037.7</v>
      </c>
      <c r="E92" s="22">
        <v>2324.7</v>
      </c>
      <c r="F92" s="22">
        <v>1312.6</v>
      </c>
      <c r="G92" s="22"/>
      <c r="H92" s="22"/>
      <c r="I92" s="22"/>
      <c r="J92" s="22"/>
      <c r="K92" s="22">
        <v>155</v>
      </c>
      <c r="L92" s="22"/>
      <c r="M92" s="22"/>
      <c r="N92" s="22"/>
      <c r="O92" s="22"/>
      <c r="P92" s="22"/>
      <c r="Q92" s="22">
        <v>2603.6</v>
      </c>
      <c r="R92" s="22">
        <v>1211</v>
      </c>
      <c r="S92" s="26">
        <v>415</v>
      </c>
      <c r="T92" s="26"/>
      <c r="U92" s="22"/>
      <c r="V92" s="22"/>
      <c r="W92" s="22">
        <v>5415.4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15475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146948</v>
      </c>
      <c r="C94" s="42">
        <f t="shared" si="18"/>
        <v>74118.99999999999</v>
      </c>
      <c r="D94" s="42">
        <f t="shared" si="18"/>
        <v>2048.8</v>
      </c>
      <c r="E94" s="42">
        <f t="shared" si="18"/>
        <v>4702.299999999999</v>
      </c>
      <c r="F94" s="42">
        <f t="shared" si="18"/>
        <v>3387.8999999999996</v>
      </c>
      <c r="G94" s="42">
        <f t="shared" si="18"/>
        <v>2954.2999999999997</v>
      </c>
      <c r="H94" s="42">
        <f t="shared" si="18"/>
        <v>5349.099999999999</v>
      </c>
      <c r="I94" s="42">
        <f t="shared" si="18"/>
        <v>29713.699999999997</v>
      </c>
      <c r="J94" s="42">
        <f t="shared" si="18"/>
        <v>2286.6</v>
      </c>
      <c r="K94" s="42">
        <f t="shared" si="18"/>
        <v>1365.6000000000001</v>
      </c>
      <c r="L94" s="42">
        <f t="shared" si="18"/>
        <v>1187.1000000000001</v>
      </c>
      <c r="M94" s="42">
        <f t="shared" si="18"/>
        <v>769.7</v>
      </c>
      <c r="N94" s="42">
        <f t="shared" si="18"/>
        <v>0</v>
      </c>
      <c r="O94" s="42">
        <f t="shared" si="18"/>
        <v>1111</v>
      </c>
      <c r="P94" s="42">
        <f t="shared" si="18"/>
        <v>3643.1</v>
      </c>
      <c r="Q94" s="42">
        <f t="shared" si="18"/>
        <v>4502.9</v>
      </c>
      <c r="R94" s="42">
        <f t="shared" si="18"/>
        <v>2464.3999999999996</v>
      </c>
      <c r="S94" s="42">
        <f t="shared" si="18"/>
        <v>1648.3999999999996</v>
      </c>
      <c r="T94" s="42">
        <f t="shared" si="18"/>
        <v>27322.8</v>
      </c>
      <c r="U94" s="42">
        <f t="shared" si="18"/>
        <v>33470.5</v>
      </c>
      <c r="V94" s="42">
        <f t="shared" si="18"/>
        <v>1610.8999999999999</v>
      </c>
      <c r="W94" s="42">
        <f t="shared" si="18"/>
        <v>6240.9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135780</v>
      </c>
      <c r="AG94" s="58">
        <f>AG10+AG15+AG24+AG33+AG47+AG52+AG54+AG61+AG62+AG69+AG71+AG72+AG76+AG81+AG82+AG83+AG88+AG89+AG90+AG91+AG70+AG40+AG92</f>
        <v>85287.00000000003</v>
      </c>
    </row>
    <row r="95" spans="1:33" ht="15.75">
      <c r="A95" s="3" t="s">
        <v>5</v>
      </c>
      <c r="B95" s="22">
        <f aca="true" t="shared" si="19" ref="B95:AD95">B11+B17+B26+B34+B55+B63+B73+B41+B77+B48</f>
        <v>73914.29999999999</v>
      </c>
      <c r="C95" s="22">
        <f t="shared" si="19"/>
        <v>28277.499999999996</v>
      </c>
      <c r="D95" s="22">
        <f t="shared" si="19"/>
        <v>0.3</v>
      </c>
      <c r="E95" s="22">
        <f t="shared" si="19"/>
        <v>50.4</v>
      </c>
      <c r="F95" s="22">
        <f t="shared" si="19"/>
        <v>36.8</v>
      </c>
      <c r="G95" s="22">
        <f t="shared" si="19"/>
        <v>0</v>
      </c>
      <c r="H95" s="22">
        <f t="shared" si="19"/>
        <v>3000.1000000000004</v>
      </c>
      <c r="I95" s="22">
        <f t="shared" si="19"/>
        <v>17409.899999999998</v>
      </c>
      <c r="J95" s="22">
        <f t="shared" si="19"/>
        <v>53</v>
      </c>
      <c r="K95" s="22">
        <f t="shared" si="19"/>
        <v>14.2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95.4</v>
      </c>
      <c r="Q95" s="22">
        <f t="shared" si="19"/>
        <v>7.9</v>
      </c>
      <c r="R95" s="22">
        <f t="shared" si="19"/>
        <v>29.6</v>
      </c>
      <c r="S95" s="22">
        <f t="shared" si="19"/>
        <v>253.2</v>
      </c>
      <c r="T95" s="22">
        <f t="shared" si="19"/>
        <v>17351.9</v>
      </c>
      <c r="U95" s="22">
        <f t="shared" si="19"/>
        <v>23580.100000000002</v>
      </c>
      <c r="V95" s="22">
        <f t="shared" si="19"/>
        <v>1280.1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63162.9</v>
      </c>
      <c r="AG95" s="27">
        <f>B95+C95-AF95</f>
        <v>39028.89999999999</v>
      </c>
    </row>
    <row r="96" spans="1:33" ht="15.75">
      <c r="A96" s="3" t="s">
        <v>2</v>
      </c>
      <c r="B96" s="22">
        <f aca="true" t="shared" si="20" ref="B96:AD96">B12+B20+B29+B36+B57+B66+B44+B80+B74+B53</f>
        <v>3589.7000000000003</v>
      </c>
      <c r="C96" s="22">
        <f t="shared" si="20"/>
        <v>6986.8</v>
      </c>
      <c r="D96" s="22">
        <f t="shared" si="20"/>
        <v>0</v>
      </c>
      <c r="E96" s="22">
        <f t="shared" si="20"/>
        <v>885.0000000000001</v>
      </c>
      <c r="F96" s="22">
        <f t="shared" si="20"/>
        <v>219.79999999999998</v>
      </c>
      <c r="G96" s="22">
        <f t="shared" si="20"/>
        <v>102.2</v>
      </c>
      <c r="H96" s="22">
        <f t="shared" si="20"/>
        <v>820.8</v>
      </c>
      <c r="I96" s="22">
        <f t="shared" si="20"/>
        <v>133</v>
      </c>
      <c r="J96" s="22">
        <f t="shared" si="20"/>
        <v>751.5</v>
      </c>
      <c r="K96" s="22">
        <f t="shared" si="20"/>
        <v>11</v>
      </c>
      <c r="L96" s="22">
        <f t="shared" si="20"/>
        <v>11.8</v>
      </c>
      <c r="M96" s="22">
        <f t="shared" si="20"/>
        <v>12.6</v>
      </c>
      <c r="N96" s="22">
        <f t="shared" si="20"/>
        <v>0</v>
      </c>
      <c r="O96" s="22">
        <f t="shared" si="20"/>
        <v>0.9</v>
      </c>
      <c r="P96" s="22">
        <f t="shared" si="20"/>
        <v>129.2</v>
      </c>
      <c r="Q96" s="22">
        <f t="shared" si="20"/>
        <v>179.3</v>
      </c>
      <c r="R96" s="22">
        <f t="shared" si="20"/>
        <v>25.900000000000002</v>
      </c>
      <c r="S96" s="22">
        <f t="shared" si="20"/>
        <v>734</v>
      </c>
      <c r="T96" s="22">
        <f t="shared" si="20"/>
        <v>1146</v>
      </c>
      <c r="U96" s="22">
        <f t="shared" si="20"/>
        <v>44.5</v>
      </c>
      <c r="V96" s="22">
        <f t="shared" si="20"/>
        <v>50.2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5257.7</v>
      </c>
      <c r="AG96" s="27">
        <f>B96+C96-AF96</f>
        <v>5318.8</v>
      </c>
    </row>
    <row r="97" spans="1:33" ht="15.75">
      <c r="A97" s="3" t="s">
        <v>3</v>
      </c>
      <c r="B97" s="22">
        <f aca="true" t="shared" si="21" ref="B97:AA97">B18+B27+B42+B64+B78</f>
        <v>10.6</v>
      </c>
      <c r="C97" s="22">
        <f t="shared" si="21"/>
        <v>17.9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1.3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2.8</v>
      </c>
      <c r="AG97" s="27">
        <f>B97+C97-AF97</f>
        <v>25.7</v>
      </c>
    </row>
    <row r="98" spans="1:33" ht="15.75">
      <c r="A98" s="3" t="s">
        <v>1</v>
      </c>
      <c r="B98" s="22">
        <f aca="true" t="shared" si="22" ref="B98:AD98">B19+B28+B65+B35+B43+B56+B79</f>
        <v>4423.6</v>
      </c>
      <c r="C98" s="22">
        <f t="shared" si="22"/>
        <v>2057.8</v>
      </c>
      <c r="D98" s="22">
        <f t="shared" si="22"/>
        <v>0</v>
      </c>
      <c r="E98" s="22">
        <f t="shared" si="22"/>
        <v>0</v>
      </c>
      <c r="F98" s="22">
        <f t="shared" si="22"/>
        <v>1021.5</v>
      </c>
      <c r="G98" s="22">
        <f t="shared" si="22"/>
        <v>165.5</v>
      </c>
      <c r="H98" s="22">
        <f t="shared" si="22"/>
        <v>365.4</v>
      </c>
      <c r="I98" s="22">
        <f t="shared" si="22"/>
        <v>157.6</v>
      </c>
      <c r="J98" s="22">
        <f t="shared" si="22"/>
        <v>529.6</v>
      </c>
      <c r="K98" s="22">
        <f t="shared" si="22"/>
        <v>272.9</v>
      </c>
      <c r="L98" s="22">
        <f t="shared" si="22"/>
        <v>4.3</v>
      </c>
      <c r="M98" s="22">
        <f t="shared" si="22"/>
        <v>413.9</v>
      </c>
      <c r="N98" s="22">
        <f t="shared" si="22"/>
        <v>0</v>
      </c>
      <c r="O98" s="22">
        <f t="shared" si="22"/>
        <v>0</v>
      </c>
      <c r="P98" s="22">
        <f t="shared" si="22"/>
        <v>572.8</v>
      </c>
      <c r="Q98" s="22">
        <f t="shared" si="22"/>
        <v>167.3</v>
      </c>
      <c r="R98" s="22">
        <f t="shared" si="22"/>
        <v>499.7</v>
      </c>
      <c r="S98" s="22">
        <f t="shared" si="22"/>
        <v>159.8</v>
      </c>
      <c r="T98" s="22">
        <f t="shared" si="22"/>
        <v>299.59999999999997</v>
      </c>
      <c r="U98" s="22">
        <f t="shared" si="22"/>
        <v>246.4</v>
      </c>
      <c r="V98" s="22">
        <f t="shared" si="22"/>
        <v>21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4897.3</v>
      </c>
      <c r="AG98" s="27">
        <f>B98+C98-AF98</f>
        <v>1584.1000000000004</v>
      </c>
    </row>
    <row r="99" spans="1:33" ht="15.75">
      <c r="A99" s="3" t="s">
        <v>16</v>
      </c>
      <c r="B99" s="22">
        <f aca="true" t="shared" si="23" ref="B99:X99">B21+B30+B49+B37+B58+B13+B75+B67</f>
        <v>2152.5</v>
      </c>
      <c r="C99" s="22">
        <f t="shared" si="23"/>
        <v>2047.1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10.9</v>
      </c>
      <c r="I99" s="22">
        <f t="shared" si="23"/>
        <v>441.20000000000005</v>
      </c>
      <c r="J99" s="22">
        <f t="shared" si="23"/>
        <v>1.2</v>
      </c>
      <c r="K99" s="22">
        <f t="shared" si="23"/>
        <v>0</v>
      </c>
      <c r="L99" s="22">
        <f t="shared" si="23"/>
        <v>5</v>
      </c>
      <c r="M99" s="22">
        <f t="shared" si="23"/>
        <v>34.9</v>
      </c>
      <c r="N99" s="22">
        <f t="shared" si="23"/>
        <v>0</v>
      </c>
      <c r="O99" s="22">
        <f t="shared" si="23"/>
        <v>31.2</v>
      </c>
      <c r="P99" s="22">
        <f t="shared" si="23"/>
        <v>728</v>
      </c>
      <c r="Q99" s="22">
        <f t="shared" si="23"/>
        <v>75.2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6.4</v>
      </c>
      <c r="V99" s="22">
        <f t="shared" si="23"/>
        <v>0.5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1334.5000000000002</v>
      </c>
      <c r="AG99" s="27">
        <f>B99+C99-AF99</f>
        <v>2865.1000000000004</v>
      </c>
    </row>
    <row r="100" spans="1:33" ht="12.75">
      <c r="A100" s="1" t="s">
        <v>35</v>
      </c>
      <c r="B100" s="2">
        <f aca="true" t="shared" si="25" ref="B100:AD100">B94-B95-B96-B97-B98-B99</f>
        <v>62857.30000000001</v>
      </c>
      <c r="C100" s="2">
        <f t="shared" si="25"/>
        <v>34731.89999999998</v>
      </c>
      <c r="D100" s="2">
        <f t="shared" si="25"/>
        <v>2048.5</v>
      </c>
      <c r="E100" s="2">
        <f t="shared" si="25"/>
        <v>3766.8999999999996</v>
      </c>
      <c r="F100" s="2">
        <f t="shared" si="25"/>
        <v>2109.7999999999993</v>
      </c>
      <c r="G100" s="2">
        <f t="shared" si="25"/>
        <v>2686.6</v>
      </c>
      <c r="H100" s="2">
        <f t="shared" si="25"/>
        <v>1151.8999999999992</v>
      </c>
      <c r="I100" s="2">
        <f t="shared" si="25"/>
        <v>11571.999999999998</v>
      </c>
      <c r="J100" s="2">
        <f t="shared" si="25"/>
        <v>949.9999999999999</v>
      </c>
      <c r="K100" s="2">
        <f t="shared" si="25"/>
        <v>1067.5</v>
      </c>
      <c r="L100" s="2">
        <f t="shared" si="25"/>
        <v>1166.0000000000002</v>
      </c>
      <c r="M100" s="2">
        <f t="shared" si="25"/>
        <v>308.30000000000007</v>
      </c>
      <c r="N100" s="2">
        <f t="shared" si="25"/>
        <v>0</v>
      </c>
      <c r="O100" s="2">
        <f t="shared" si="25"/>
        <v>1078.8999999999999</v>
      </c>
      <c r="P100" s="2">
        <f t="shared" si="25"/>
        <v>2116.2</v>
      </c>
      <c r="Q100" s="2">
        <f t="shared" si="25"/>
        <v>4073.2</v>
      </c>
      <c r="R100" s="2">
        <f t="shared" si="25"/>
        <v>1909.1999999999996</v>
      </c>
      <c r="S100" s="2">
        <f t="shared" si="25"/>
        <v>501.3999999999996</v>
      </c>
      <c r="T100" s="2">
        <f t="shared" si="25"/>
        <v>8525.299999999997</v>
      </c>
      <c r="U100" s="2">
        <f t="shared" si="25"/>
        <v>9593.099999999999</v>
      </c>
      <c r="V100" s="2">
        <f t="shared" si="25"/>
        <v>259.09999999999997</v>
      </c>
      <c r="W100" s="2">
        <f t="shared" si="25"/>
        <v>6240.9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61124.8</v>
      </c>
      <c r="AG100" s="2">
        <f>AG94-AG95-AG96-AG97-AG98-AG99</f>
        <v>36464.400000000045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M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1" sqref="A21:IV2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62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63</v>
      </c>
      <c r="C4" s="9" t="s">
        <v>18</v>
      </c>
      <c r="D4" s="9">
        <v>1</v>
      </c>
      <c r="E4" s="8">
        <v>2</v>
      </c>
      <c r="F4" s="8">
        <v>6</v>
      </c>
      <c r="G4" s="8">
        <v>7</v>
      </c>
      <c r="H4" s="8">
        <v>8</v>
      </c>
      <c r="I4" s="8">
        <v>9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29</v>
      </c>
      <c r="W4" s="8">
        <v>30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66819.70000000001</v>
      </c>
      <c r="C7" s="72">
        <v>20449.9</v>
      </c>
      <c r="D7" s="45"/>
      <c r="E7" s="46">
        <v>33409.9</v>
      </c>
      <c r="F7" s="46"/>
      <c r="G7" s="46"/>
      <c r="H7" s="74"/>
      <c r="I7" s="46"/>
      <c r="J7" s="47"/>
      <c r="K7" s="46">
        <v>33409.8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89407</v>
      </c>
      <c r="AF7" s="72"/>
      <c r="AG7" s="48"/>
    </row>
    <row r="8" spans="1:55" ht="18" customHeight="1">
      <c r="A8" s="60" t="s">
        <v>30</v>
      </c>
      <c r="B8" s="40">
        <f>SUM(D8:AB8)</f>
        <v>106277</v>
      </c>
      <c r="C8" s="40">
        <v>86315.6</v>
      </c>
      <c r="D8" s="43">
        <v>10184.7</v>
      </c>
      <c r="E8" s="55">
        <v>4767.3</v>
      </c>
      <c r="F8" s="55">
        <v>3334.1</v>
      </c>
      <c r="G8" s="55">
        <v>3810.5</v>
      </c>
      <c r="H8" s="55">
        <v>8767.9</v>
      </c>
      <c r="I8" s="55">
        <v>3760.7</v>
      </c>
      <c r="J8" s="56">
        <v>3042.7</v>
      </c>
      <c r="K8" s="55">
        <v>7076.3</v>
      </c>
      <c r="L8" s="55">
        <v>2245.3</v>
      </c>
      <c r="M8" s="55">
        <v>4596.5</v>
      </c>
      <c r="N8" s="55">
        <v>9728.7</v>
      </c>
      <c r="O8" s="55">
        <v>3997.9</v>
      </c>
      <c r="P8" s="55">
        <v>4052.7</v>
      </c>
      <c r="Q8" s="55">
        <v>4539.9</v>
      </c>
      <c r="R8" s="55">
        <v>4603</v>
      </c>
      <c r="S8" s="57">
        <v>5583.5</v>
      </c>
      <c r="T8" s="57">
        <v>3911</v>
      </c>
      <c r="U8" s="55">
        <v>3525.2</v>
      </c>
      <c r="V8" s="55">
        <v>4876.1</v>
      </c>
      <c r="W8" s="55">
        <v>9873</v>
      </c>
      <c r="X8" s="56"/>
      <c r="Y8" s="56"/>
      <c r="Z8" s="56"/>
      <c r="AA8" s="56"/>
      <c r="AB8" s="55"/>
      <c r="AC8" s="23"/>
      <c r="AD8" s="23"/>
      <c r="AE8" s="61">
        <v>20735.2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176712.70000000004</v>
      </c>
      <c r="C9" s="24">
        <f t="shared" si="0"/>
        <v>82827.00000000004</v>
      </c>
      <c r="D9" s="24">
        <f t="shared" si="0"/>
        <v>0</v>
      </c>
      <c r="E9" s="24">
        <f t="shared" si="0"/>
        <v>13527.599999999999</v>
      </c>
      <c r="F9" s="24">
        <f t="shared" si="0"/>
        <v>1124.3999999999999</v>
      </c>
      <c r="G9" s="24">
        <f t="shared" si="0"/>
        <v>801.7</v>
      </c>
      <c r="H9" s="24">
        <f t="shared" si="0"/>
        <v>1255.1999999999998</v>
      </c>
      <c r="I9" s="24">
        <f t="shared" si="0"/>
        <v>4920</v>
      </c>
      <c r="J9" s="24">
        <f t="shared" si="0"/>
        <v>24142.3</v>
      </c>
      <c r="K9" s="24">
        <f t="shared" si="0"/>
        <v>35467.29999999999</v>
      </c>
      <c r="L9" s="24">
        <f t="shared" si="0"/>
        <v>2245.3</v>
      </c>
      <c r="M9" s="24">
        <f t="shared" si="0"/>
        <v>3716.1</v>
      </c>
      <c r="N9" s="24">
        <f t="shared" si="0"/>
        <v>1694</v>
      </c>
      <c r="O9" s="24">
        <f t="shared" si="0"/>
        <v>1890.8999999999999</v>
      </c>
      <c r="P9" s="24">
        <f t="shared" si="0"/>
        <v>1131.3</v>
      </c>
      <c r="Q9" s="24">
        <f t="shared" si="0"/>
        <v>4540</v>
      </c>
      <c r="R9" s="24">
        <f t="shared" si="0"/>
        <v>1194.3000000000002</v>
      </c>
      <c r="S9" s="24">
        <f t="shared" si="0"/>
        <v>9310.500000000002</v>
      </c>
      <c r="T9" s="24">
        <f t="shared" si="0"/>
        <v>21321.699999999997</v>
      </c>
      <c r="U9" s="24">
        <f t="shared" si="0"/>
        <v>37010.5</v>
      </c>
      <c r="V9" s="24">
        <f t="shared" si="0"/>
        <v>3595.899999999999</v>
      </c>
      <c r="W9" s="24">
        <f t="shared" si="0"/>
        <v>831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169720</v>
      </c>
      <c r="AG9" s="50">
        <f>AG10+AG15+AG24+AG33+AG47+AG52+AG54+AG61+AG62+AG71+AG72+AG76+AG88+AG81+AG83+AG82+AG69+AG89+AG91+AG90+AG70+AG40+AG92</f>
        <v>89819.70000000004</v>
      </c>
      <c r="AH9" s="49"/>
      <c r="AI9" s="49"/>
    </row>
    <row r="10" spans="1:33" ht="15.75">
      <c r="A10" s="4" t="s">
        <v>4</v>
      </c>
      <c r="B10" s="22">
        <v>13380.6</v>
      </c>
      <c r="C10" s="22">
        <v>30839.6</v>
      </c>
      <c r="D10" s="22"/>
      <c r="E10" s="22">
        <v>69.3</v>
      </c>
      <c r="F10" s="22">
        <v>21.8</v>
      </c>
      <c r="G10" s="22">
        <v>23.3</v>
      </c>
      <c r="H10" s="22">
        <v>4</v>
      </c>
      <c r="I10" s="22">
        <v>47.2</v>
      </c>
      <c r="J10" s="25">
        <v>982.2</v>
      </c>
      <c r="K10" s="22">
        <v>4710.8</v>
      </c>
      <c r="L10" s="22">
        <v>65.4</v>
      </c>
      <c r="M10" s="22">
        <v>21.4</v>
      </c>
      <c r="N10" s="22">
        <v>40.3</v>
      </c>
      <c r="O10" s="27">
        <v>43.9</v>
      </c>
      <c r="P10" s="22">
        <v>39</v>
      </c>
      <c r="Q10" s="22">
        <v>207.9</v>
      </c>
      <c r="R10" s="22">
        <v>16</v>
      </c>
      <c r="S10" s="26">
        <v>10.2</v>
      </c>
      <c r="T10" s="26">
        <v>429.1</v>
      </c>
      <c r="U10" s="26">
        <v>6414</v>
      </c>
      <c r="V10" s="26">
        <f>3323.9+36.7</f>
        <v>3360.6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16506.399999999998</v>
      </c>
      <c r="AG10" s="27">
        <f>B10+C10-AF10</f>
        <v>27713.8</v>
      </c>
    </row>
    <row r="11" spans="1:33" ht="15.75">
      <c r="A11" s="3" t="s">
        <v>5</v>
      </c>
      <c r="B11" s="22">
        <f>12766.5-64.5-80</f>
        <v>12622</v>
      </c>
      <c r="C11" s="22">
        <v>28374.9</v>
      </c>
      <c r="D11" s="22"/>
      <c r="E11" s="22"/>
      <c r="F11" s="22">
        <v>4.1</v>
      </c>
      <c r="G11" s="22"/>
      <c r="H11" s="22"/>
      <c r="I11" s="22">
        <v>23.5</v>
      </c>
      <c r="J11" s="26">
        <v>962.9</v>
      </c>
      <c r="K11" s="22">
        <v>4695.9</v>
      </c>
      <c r="L11" s="22"/>
      <c r="M11" s="22"/>
      <c r="N11" s="22">
        <v>34.7</v>
      </c>
      <c r="O11" s="27">
        <v>9.5</v>
      </c>
      <c r="P11" s="22">
        <v>23.7</v>
      </c>
      <c r="Q11" s="22">
        <v>39.5</v>
      </c>
      <c r="R11" s="22"/>
      <c r="S11" s="26"/>
      <c r="T11" s="26">
        <v>291</v>
      </c>
      <c r="U11" s="26">
        <v>6411.2</v>
      </c>
      <c r="V11" s="26">
        <f>3323.9</f>
        <v>3323.9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15819.9</v>
      </c>
      <c r="AG11" s="27">
        <f>B11+C11-AF11</f>
        <v>25177</v>
      </c>
    </row>
    <row r="12" spans="1:33" ht="15.75">
      <c r="A12" s="3" t="s">
        <v>2</v>
      </c>
      <c r="B12" s="36">
        <v>67.8</v>
      </c>
      <c r="C12" s="22">
        <v>480.8</v>
      </c>
      <c r="D12" s="22"/>
      <c r="E12" s="22">
        <v>44.4</v>
      </c>
      <c r="F12" s="22"/>
      <c r="G12" s="22"/>
      <c r="H12" s="22"/>
      <c r="I12" s="22">
        <v>1</v>
      </c>
      <c r="J12" s="26"/>
      <c r="K12" s="22"/>
      <c r="L12" s="22"/>
      <c r="M12" s="22">
        <v>13.6</v>
      </c>
      <c r="N12" s="22"/>
      <c r="O12" s="27"/>
      <c r="P12" s="22">
        <v>0.7</v>
      </c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59.7</v>
      </c>
      <c r="AG12" s="27">
        <f>B12+C12-AF12</f>
        <v>488.90000000000003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690.8000000000004</v>
      </c>
      <c r="C14" s="22">
        <f t="shared" si="2"/>
        <v>1983.8999999999971</v>
      </c>
      <c r="D14" s="22">
        <f t="shared" si="2"/>
        <v>0</v>
      </c>
      <c r="E14" s="22">
        <f t="shared" si="2"/>
        <v>24.9</v>
      </c>
      <c r="F14" s="22">
        <f t="shared" si="2"/>
        <v>17.700000000000003</v>
      </c>
      <c r="G14" s="22">
        <f t="shared" si="2"/>
        <v>23.3</v>
      </c>
      <c r="H14" s="22">
        <f t="shared" si="2"/>
        <v>4</v>
      </c>
      <c r="I14" s="22">
        <f t="shared" si="2"/>
        <v>22.700000000000003</v>
      </c>
      <c r="J14" s="22">
        <f t="shared" si="2"/>
        <v>19.300000000000068</v>
      </c>
      <c r="K14" s="22">
        <f t="shared" si="2"/>
        <v>14.900000000000546</v>
      </c>
      <c r="L14" s="22">
        <f t="shared" si="2"/>
        <v>65.4</v>
      </c>
      <c r="M14" s="22">
        <f t="shared" si="2"/>
        <v>7.799999999999999</v>
      </c>
      <c r="N14" s="22">
        <f t="shared" si="2"/>
        <v>5.599999999999994</v>
      </c>
      <c r="O14" s="22">
        <f t="shared" si="2"/>
        <v>34.4</v>
      </c>
      <c r="P14" s="22">
        <f t="shared" si="2"/>
        <v>14.600000000000001</v>
      </c>
      <c r="Q14" s="22">
        <f t="shared" si="2"/>
        <v>168.4</v>
      </c>
      <c r="R14" s="22">
        <f t="shared" si="2"/>
        <v>16</v>
      </c>
      <c r="S14" s="22">
        <f t="shared" si="2"/>
        <v>10.2</v>
      </c>
      <c r="T14" s="22">
        <f t="shared" si="2"/>
        <v>138.10000000000002</v>
      </c>
      <c r="U14" s="22">
        <f t="shared" si="2"/>
        <v>2.800000000000182</v>
      </c>
      <c r="V14" s="22">
        <f t="shared" si="2"/>
        <v>36.69999999999982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626.8000000000006</v>
      </c>
      <c r="AG14" s="27">
        <f>AG10-AG11-AG12-AG13</f>
        <v>2047.8999999999992</v>
      </c>
    </row>
    <row r="15" spans="1:33" ht="15" customHeight="1">
      <c r="A15" s="4" t="s">
        <v>6</v>
      </c>
      <c r="B15" s="22">
        <f>93880.1+2-8.1</f>
        <v>93874</v>
      </c>
      <c r="C15" s="22">
        <v>18451</v>
      </c>
      <c r="D15" s="44"/>
      <c r="E15" s="44">
        <v>9378.9</v>
      </c>
      <c r="F15" s="22">
        <v>533.8</v>
      </c>
      <c r="G15" s="22">
        <v>67.6</v>
      </c>
      <c r="H15" s="22">
        <v>218</v>
      </c>
      <c r="I15" s="22">
        <v>1759.2</v>
      </c>
      <c r="J15" s="26">
        <v>23001.7</v>
      </c>
      <c r="K15" s="22">
        <v>12551.4</v>
      </c>
      <c r="L15" s="22">
        <v>270</v>
      </c>
      <c r="M15" s="22">
        <v>11.5</v>
      </c>
      <c r="N15" s="22">
        <v>368.1</v>
      </c>
      <c r="O15" s="27">
        <v>465.7</v>
      </c>
      <c r="P15" s="22">
        <v>88.7</v>
      </c>
      <c r="Q15" s="27">
        <v>344.2</v>
      </c>
      <c r="R15" s="22">
        <v>50</v>
      </c>
      <c r="S15" s="26">
        <v>8771.1</v>
      </c>
      <c r="T15" s="26">
        <v>1063.2</v>
      </c>
      <c r="U15" s="26">
        <v>22747.5</v>
      </c>
      <c r="V15" s="26">
        <f>0.7-2</f>
        <v>-1.3</v>
      </c>
      <c r="W15" s="26">
        <v>-1.1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81688.19999999997</v>
      </c>
      <c r="AG15" s="27">
        <f aca="true" t="shared" si="3" ref="AG15:AG31">B15+C15-AF15</f>
        <v>30636.800000000032</v>
      </c>
    </row>
    <row r="16" spans="1:34" s="70" customFormat="1" ht="15" customHeight="1">
      <c r="A16" s="65" t="s">
        <v>38</v>
      </c>
      <c r="B16" s="66">
        <v>46943.4</v>
      </c>
      <c r="C16" s="66">
        <v>6622.4</v>
      </c>
      <c r="D16" s="67"/>
      <c r="E16" s="67">
        <v>8976.7</v>
      </c>
      <c r="F16" s="66"/>
      <c r="G16" s="66"/>
      <c r="H16" s="66"/>
      <c r="I16" s="66"/>
      <c r="J16" s="68">
        <v>21107.4</v>
      </c>
      <c r="K16" s="66">
        <v>3648.1</v>
      </c>
      <c r="L16" s="66"/>
      <c r="M16" s="66"/>
      <c r="N16" s="66"/>
      <c r="O16" s="69"/>
      <c r="P16" s="66"/>
      <c r="Q16" s="69"/>
      <c r="R16" s="66"/>
      <c r="S16" s="68">
        <v>8478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42210.200000000004</v>
      </c>
      <c r="AG16" s="71">
        <f t="shared" si="3"/>
        <v>11355.599999999999</v>
      </c>
      <c r="AH16" s="75"/>
    </row>
    <row r="17" spans="1:34" ht="15.75">
      <c r="A17" s="3" t="s">
        <v>5</v>
      </c>
      <c r="B17" s="22">
        <v>85157.9</v>
      </c>
      <c r="C17" s="22">
        <v>9589.3</v>
      </c>
      <c r="D17" s="22"/>
      <c r="E17" s="22">
        <v>9378.9</v>
      </c>
      <c r="F17" s="22"/>
      <c r="G17" s="22"/>
      <c r="H17" s="22"/>
      <c r="I17" s="22"/>
      <c r="J17" s="26">
        <v>22855.5</v>
      </c>
      <c r="K17" s="22">
        <v>11721.1</v>
      </c>
      <c r="L17" s="22">
        <v>270</v>
      </c>
      <c r="M17" s="22"/>
      <c r="N17" s="22"/>
      <c r="O17" s="27"/>
      <c r="P17" s="22"/>
      <c r="Q17" s="27"/>
      <c r="R17" s="22"/>
      <c r="S17" s="26">
        <v>8478</v>
      </c>
      <c r="T17" s="26"/>
      <c r="U17" s="26">
        <v>22599.8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75303.3</v>
      </c>
      <c r="AG17" s="27">
        <f t="shared" si="3"/>
        <v>19443.899999999994</v>
      </c>
      <c r="AH17" s="6"/>
    </row>
    <row r="18" spans="1:33" ht="15.75">
      <c r="A18" s="3" t="s">
        <v>3</v>
      </c>
      <c r="B18" s="22">
        <v>0</v>
      </c>
      <c r="C18" s="22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25.3</v>
      </c>
    </row>
    <row r="19" spans="1:33" ht="15.75">
      <c r="A19" s="3" t="s">
        <v>1</v>
      </c>
      <c r="B19" s="22">
        <v>1689</v>
      </c>
      <c r="C19" s="22">
        <v>1178.4</v>
      </c>
      <c r="D19" s="22"/>
      <c r="E19" s="22"/>
      <c r="F19" s="22">
        <v>263</v>
      </c>
      <c r="G19" s="22"/>
      <c r="H19" s="22"/>
      <c r="I19" s="22">
        <v>1167.5</v>
      </c>
      <c r="J19" s="26">
        <v>18.8</v>
      </c>
      <c r="K19" s="22">
        <v>773.9</v>
      </c>
      <c r="L19" s="22"/>
      <c r="M19" s="22"/>
      <c r="N19" s="22">
        <v>10.5</v>
      </c>
      <c r="O19" s="27">
        <v>3.7</v>
      </c>
      <c r="P19" s="22">
        <v>87.8</v>
      </c>
      <c r="Q19" s="27">
        <v>8.4</v>
      </c>
      <c r="R19" s="22"/>
      <c r="S19" s="26">
        <v>0.8</v>
      </c>
      <c r="T19" s="26">
        <v>111.3</v>
      </c>
      <c r="U19" s="26">
        <v>0.3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2446.0000000000005</v>
      </c>
      <c r="AG19" s="27">
        <f t="shared" si="3"/>
        <v>421.39999999999964</v>
      </c>
    </row>
    <row r="20" spans="1:33" ht="15.75">
      <c r="A20" s="3" t="s">
        <v>2</v>
      </c>
      <c r="B20" s="22">
        <v>4364</v>
      </c>
      <c r="C20" s="22">
        <v>3189.7</v>
      </c>
      <c r="D20" s="22"/>
      <c r="E20" s="22"/>
      <c r="F20" s="22">
        <v>230.3</v>
      </c>
      <c r="G20" s="22">
        <v>1.4</v>
      </c>
      <c r="H20" s="22">
        <v>210.1</v>
      </c>
      <c r="I20" s="22">
        <v>478.9</v>
      </c>
      <c r="J20" s="26"/>
      <c r="K20" s="22">
        <v>1.7</v>
      </c>
      <c r="L20" s="22"/>
      <c r="M20" s="22">
        <v>0.5</v>
      </c>
      <c r="N20" s="22">
        <v>11.1</v>
      </c>
      <c r="O20" s="27">
        <v>12.6</v>
      </c>
      <c r="P20" s="22">
        <v>0.3</v>
      </c>
      <c r="Q20" s="27">
        <v>35.7</v>
      </c>
      <c r="R20" s="22"/>
      <c r="S20" s="26">
        <v>40.8</v>
      </c>
      <c r="T20" s="26">
        <v>536.6</v>
      </c>
      <c r="U20" s="26">
        <v>50</v>
      </c>
      <c r="V20" s="26">
        <v>0.7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1610.7</v>
      </c>
      <c r="AG20" s="27">
        <f t="shared" si="3"/>
        <v>5943</v>
      </c>
    </row>
    <row r="21" spans="1:33" ht="15.75">
      <c r="A21" s="3" t="s">
        <v>16</v>
      </c>
      <c r="B21" s="22">
        <v>1148.9</v>
      </c>
      <c r="C21" s="22">
        <v>618.6</v>
      </c>
      <c r="D21" s="22"/>
      <c r="E21" s="22"/>
      <c r="F21" s="22"/>
      <c r="G21" s="22"/>
      <c r="H21" s="22"/>
      <c r="I21" s="22">
        <v>44.4</v>
      </c>
      <c r="J21" s="26">
        <v>125.1</v>
      </c>
      <c r="K21" s="22">
        <v>1.2</v>
      </c>
      <c r="L21" s="22"/>
      <c r="M21" s="22"/>
      <c r="N21" s="22"/>
      <c r="O21" s="27">
        <v>436.4</v>
      </c>
      <c r="P21" s="22"/>
      <c r="Q21" s="27">
        <v>226</v>
      </c>
      <c r="R21" s="22"/>
      <c r="S21" s="26"/>
      <c r="T21" s="26">
        <v>367.5</v>
      </c>
      <c r="U21" s="22">
        <v>10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1210.6</v>
      </c>
      <c r="AG21" s="27">
        <f t="shared" si="3"/>
        <v>556.9000000000001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1514.2000000000057</v>
      </c>
      <c r="C23" s="22">
        <f t="shared" si="4"/>
        <v>3849.700000000002</v>
      </c>
      <c r="D23" s="22">
        <f t="shared" si="4"/>
        <v>0</v>
      </c>
      <c r="E23" s="22">
        <f t="shared" si="4"/>
        <v>0</v>
      </c>
      <c r="F23" s="22">
        <f t="shared" si="4"/>
        <v>40.49999999999994</v>
      </c>
      <c r="G23" s="22">
        <f t="shared" si="4"/>
        <v>66.19999999999999</v>
      </c>
      <c r="H23" s="22">
        <f t="shared" si="4"/>
        <v>7.900000000000006</v>
      </c>
      <c r="I23" s="22">
        <f t="shared" si="4"/>
        <v>68.40000000000006</v>
      </c>
      <c r="J23" s="22">
        <f t="shared" si="4"/>
        <v>2.300000000000736</v>
      </c>
      <c r="K23" s="22">
        <f t="shared" si="4"/>
        <v>53.49999999999929</v>
      </c>
      <c r="L23" s="22">
        <f t="shared" si="4"/>
        <v>0</v>
      </c>
      <c r="M23" s="22">
        <f t="shared" si="4"/>
        <v>11</v>
      </c>
      <c r="N23" s="22">
        <f t="shared" si="4"/>
        <v>346.5</v>
      </c>
      <c r="O23" s="22">
        <f t="shared" si="4"/>
        <v>13</v>
      </c>
      <c r="P23" s="22">
        <f t="shared" si="4"/>
        <v>0.6000000000000056</v>
      </c>
      <c r="Q23" s="22">
        <f t="shared" si="4"/>
        <v>74.10000000000002</v>
      </c>
      <c r="R23" s="22">
        <f t="shared" si="4"/>
        <v>50</v>
      </c>
      <c r="S23" s="22">
        <f t="shared" si="4"/>
        <v>251.50000000000034</v>
      </c>
      <c r="T23" s="22">
        <f t="shared" si="4"/>
        <v>47.80000000000007</v>
      </c>
      <c r="U23" s="22">
        <f t="shared" si="4"/>
        <v>87.40000000000072</v>
      </c>
      <c r="V23" s="22">
        <f t="shared" si="4"/>
        <v>-2</v>
      </c>
      <c r="W23" s="22">
        <f t="shared" si="4"/>
        <v>-1.1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1117.6000000000015</v>
      </c>
      <c r="AG23" s="27">
        <f t="shared" si="3"/>
        <v>4246.300000000007</v>
      </c>
    </row>
    <row r="24" spans="1:33" ht="15" customHeight="1">
      <c r="A24" s="4" t="s">
        <v>7</v>
      </c>
      <c r="B24" s="22">
        <v>31265.8</v>
      </c>
      <c r="C24" s="22">
        <v>17707.5</v>
      </c>
      <c r="D24" s="22"/>
      <c r="E24" s="22">
        <v>2770.2</v>
      </c>
      <c r="F24" s="22">
        <v>13.8</v>
      </c>
      <c r="G24" s="22"/>
      <c r="H24" s="22"/>
      <c r="I24" s="22">
        <v>1016.9</v>
      </c>
      <c r="J24" s="26"/>
      <c r="K24" s="22">
        <v>9915.8</v>
      </c>
      <c r="L24" s="22"/>
      <c r="M24" s="22">
        <v>1.4</v>
      </c>
      <c r="N24" s="22"/>
      <c r="O24" s="27">
        <v>1307.4</v>
      </c>
      <c r="P24" s="22">
        <v>84.3</v>
      </c>
      <c r="Q24" s="27"/>
      <c r="R24" s="27"/>
      <c r="S24" s="26"/>
      <c r="T24" s="26">
        <v>18046.3</v>
      </c>
      <c r="U24" s="26">
        <v>999.4</v>
      </c>
      <c r="V24" s="26">
        <v>43.6</v>
      </c>
      <c r="W24" s="26">
        <v>0.7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34199.799999999996</v>
      </c>
      <c r="AG24" s="27">
        <f t="shared" si="3"/>
        <v>14773.500000000007</v>
      </c>
    </row>
    <row r="25" spans="1:34" s="70" customFormat="1" ht="15" customHeight="1">
      <c r="A25" s="65" t="s">
        <v>39</v>
      </c>
      <c r="B25" s="66">
        <v>19856.4</v>
      </c>
      <c r="C25" s="66">
        <v>8027.5</v>
      </c>
      <c r="D25" s="66"/>
      <c r="E25" s="66">
        <v>203.4</v>
      </c>
      <c r="F25" s="66">
        <v>13.8</v>
      </c>
      <c r="G25" s="66"/>
      <c r="H25" s="66"/>
      <c r="I25" s="66">
        <v>367.4</v>
      </c>
      <c r="J25" s="68"/>
      <c r="K25" s="66">
        <v>9915.8</v>
      </c>
      <c r="L25" s="66"/>
      <c r="M25" s="66">
        <v>1.4</v>
      </c>
      <c r="N25" s="66"/>
      <c r="O25" s="69">
        <v>774.1</v>
      </c>
      <c r="P25" s="66">
        <v>84.3</v>
      </c>
      <c r="Q25" s="69"/>
      <c r="R25" s="69"/>
      <c r="S25" s="68"/>
      <c r="T25" s="68">
        <v>12899.7</v>
      </c>
      <c r="U25" s="68">
        <v>65.6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24325.5</v>
      </c>
      <c r="AG25" s="71">
        <f t="shared" si="3"/>
        <v>3558.4000000000015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31265.8</v>
      </c>
      <c r="C32" s="22">
        <f t="shared" si="5"/>
        <v>17707.5</v>
      </c>
      <c r="D32" s="22">
        <f t="shared" si="5"/>
        <v>0</v>
      </c>
      <c r="E32" s="22">
        <f t="shared" si="5"/>
        <v>2770.2</v>
      </c>
      <c r="F32" s="22">
        <f t="shared" si="5"/>
        <v>13.8</v>
      </c>
      <c r="G32" s="22">
        <f t="shared" si="5"/>
        <v>0</v>
      </c>
      <c r="H32" s="22">
        <f t="shared" si="5"/>
        <v>0</v>
      </c>
      <c r="I32" s="22">
        <f t="shared" si="5"/>
        <v>1016.9</v>
      </c>
      <c r="J32" s="22">
        <f t="shared" si="5"/>
        <v>0</v>
      </c>
      <c r="K32" s="22">
        <f t="shared" si="5"/>
        <v>9915.8</v>
      </c>
      <c r="L32" s="22">
        <f t="shared" si="5"/>
        <v>0</v>
      </c>
      <c r="M32" s="22">
        <f t="shared" si="5"/>
        <v>1.4</v>
      </c>
      <c r="N32" s="22">
        <f t="shared" si="5"/>
        <v>0</v>
      </c>
      <c r="O32" s="22">
        <f t="shared" si="5"/>
        <v>1307.4</v>
      </c>
      <c r="P32" s="22">
        <f t="shared" si="5"/>
        <v>84.3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18046.3</v>
      </c>
      <c r="U32" s="22">
        <f t="shared" si="5"/>
        <v>999.4</v>
      </c>
      <c r="V32" s="22">
        <f t="shared" si="5"/>
        <v>43.6</v>
      </c>
      <c r="W32" s="22">
        <f t="shared" si="5"/>
        <v>0.7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34199.799999999996</v>
      </c>
      <c r="AG32" s="27">
        <f>AG24</f>
        <v>14773.500000000007</v>
      </c>
    </row>
    <row r="33" spans="1:33" ht="15" customHeight="1">
      <c r="A33" s="4" t="s">
        <v>8</v>
      </c>
      <c r="B33" s="22">
        <f>1470.2-179.7+50</f>
        <v>1340.5</v>
      </c>
      <c r="C33" s="22">
        <v>637.1</v>
      </c>
      <c r="D33" s="22"/>
      <c r="E33" s="22"/>
      <c r="F33" s="22">
        <v>15.3</v>
      </c>
      <c r="G33" s="22"/>
      <c r="H33" s="22">
        <v>39.7</v>
      </c>
      <c r="I33" s="22"/>
      <c r="J33" s="26">
        <v>11.2</v>
      </c>
      <c r="K33" s="22">
        <v>39.1</v>
      </c>
      <c r="L33" s="22"/>
      <c r="M33" s="22"/>
      <c r="N33" s="22"/>
      <c r="O33" s="27"/>
      <c r="P33" s="22"/>
      <c r="Q33" s="27"/>
      <c r="R33" s="22"/>
      <c r="S33" s="26">
        <v>0.1</v>
      </c>
      <c r="T33" s="26">
        <v>101.9</v>
      </c>
      <c r="U33" s="26">
        <v>64.5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271.8</v>
      </c>
      <c r="AG33" s="27">
        <f aca="true" t="shared" si="6" ref="AG33:AG38">B33+C33-AF33</f>
        <v>1705.8</v>
      </c>
    </row>
    <row r="34" spans="1:33" ht="15.75">
      <c r="A34" s="3" t="s">
        <v>5</v>
      </c>
      <c r="B34" s="22">
        <f>258.4-179.5</f>
        <v>78.89999999999998</v>
      </c>
      <c r="C34" s="22">
        <v>173</v>
      </c>
      <c r="D34" s="22"/>
      <c r="E34" s="22"/>
      <c r="F34" s="22"/>
      <c r="G34" s="22"/>
      <c r="H34" s="22"/>
      <c r="I34" s="22"/>
      <c r="J34" s="26"/>
      <c r="K34" s="22">
        <v>39.1</v>
      </c>
      <c r="L34" s="22"/>
      <c r="M34" s="22"/>
      <c r="N34" s="22"/>
      <c r="O34" s="22"/>
      <c r="P34" s="22"/>
      <c r="Q34" s="27"/>
      <c r="R34" s="22"/>
      <c r="S34" s="26"/>
      <c r="T34" s="26">
        <v>101.5</v>
      </c>
      <c r="U34" s="26">
        <v>64.4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205</v>
      </c>
      <c r="AG34" s="27">
        <f t="shared" si="6"/>
        <v>46.89999999999998</v>
      </c>
    </row>
    <row r="35" spans="1:33" ht="15.75">
      <c r="A35" s="3" t="s">
        <v>1</v>
      </c>
      <c r="B35" s="22">
        <v>0</v>
      </c>
      <c r="C35" s="22">
        <v>340.5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.75">
      <c r="A36" s="3" t="s">
        <v>2</v>
      </c>
      <c r="B36" s="44">
        <f>5+0.9</f>
        <v>5.9</v>
      </c>
      <c r="C36" s="22">
        <v>12</v>
      </c>
      <c r="D36" s="22"/>
      <c r="E36" s="22"/>
      <c r="F36" s="22"/>
      <c r="G36" s="22"/>
      <c r="H36" s="22"/>
      <c r="I36" s="22"/>
      <c r="J36" s="26">
        <v>4.2</v>
      </c>
      <c r="K36" s="22"/>
      <c r="L36" s="22"/>
      <c r="M36" s="22"/>
      <c r="N36" s="22"/>
      <c r="O36" s="27"/>
      <c r="P36" s="22"/>
      <c r="Q36" s="27"/>
      <c r="R36" s="22"/>
      <c r="S36" s="26">
        <v>0.1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4.3</v>
      </c>
      <c r="AG36" s="27">
        <f t="shared" si="6"/>
        <v>13.599999999999998</v>
      </c>
    </row>
    <row r="37" spans="1:33" ht="15.75">
      <c r="A37" s="3" t="s">
        <v>16</v>
      </c>
      <c r="B37" s="22">
        <v>1124.5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1124.5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131.19999999999982</v>
      </c>
      <c r="C39" s="22">
        <f t="shared" si="7"/>
        <v>111.60000000000002</v>
      </c>
      <c r="D39" s="22">
        <f t="shared" si="7"/>
        <v>0</v>
      </c>
      <c r="E39" s="22">
        <f t="shared" si="7"/>
        <v>0</v>
      </c>
      <c r="F39" s="22">
        <f t="shared" si="7"/>
        <v>15.3</v>
      </c>
      <c r="G39" s="22">
        <f t="shared" si="7"/>
        <v>0</v>
      </c>
      <c r="H39" s="22">
        <f t="shared" si="7"/>
        <v>39.7</v>
      </c>
      <c r="I39" s="22">
        <f t="shared" si="7"/>
        <v>0</v>
      </c>
      <c r="J39" s="22">
        <f t="shared" si="7"/>
        <v>6.999999999999999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0.4000000000000057</v>
      </c>
      <c r="U39" s="22">
        <f t="shared" si="7"/>
        <v>0.09999999999999432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62.5</v>
      </c>
      <c r="AG39" s="27">
        <f>AG33-AG34-AG36-AG38-AG35-AG37</f>
        <v>180.30000000000018</v>
      </c>
    </row>
    <row r="40" spans="1:33" ht="15" customHeight="1">
      <c r="A40" s="4" t="s">
        <v>29</v>
      </c>
      <c r="B40" s="22">
        <v>973.5</v>
      </c>
      <c r="C40" s="22">
        <v>260</v>
      </c>
      <c r="D40" s="22"/>
      <c r="E40" s="22"/>
      <c r="F40" s="22"/>
      <c r="G40" s="22"/>
      <c r="H40" s="22">
        <v>19.5</v>
      </c>
      <c r="I40" s="22"/>
      <c r="J40" s="26"/>
      <c r="K40" s="22">
        <v>326.2</v>
      </c>
      <c r="L40" s="22">
        <v>24.6</v>
      </c>
      <c r="M40" s="22">
        <v>1</v>
      </c>
      <c r="N40" s="22"/>
      <c r="O40" s="27"/>
      <c r="P40" s="22"/>
      <c r="Q40" s="27"/>
      <c r="R40" s="27"/>
      <c r="S40" s="26"/>
      <c r="T40" s="26">
        <v>691.6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1062.9</v>
      </c>
      <c r="AG40" s="27">
        <f aca="true" t="shared" si="8" ref="AG40:AG45">B40+C40-AF40</f>
        <v>170.5999999999999</v>
      </c>
    </row>
    <row r="41" spans="1:34" ht="15.75">
      <c r="A41" s="3" t="s">
        <v>5</v>
      </c>
      <c r="B41" s="22">
        <v>930.2</v>
      </c>
      <c r="C41" s="22">
        <v>108.8</v>
      </c>
      <c r="D41" s="22"/>
      <c r="E41" s="22"/>
      <c r="F41" s="22"/>
      <c r="G41" s="22"/>
      <c r="H41" s="22"/>
      <c r="I41" s="22"/>
      <c r="J41" s="26"/>
      <c r="K41" s="22">
        <v>311.9</v>
      </c>
      <c r="L41" s="22"/>
      <c r="M41" s="22"/>
      <c r="N41" s="22"/>
      <c r="O41" s="27"/>
      <c r="P41" s="22"/>
      <c r="Q41" s="22"/>
      <c r="R41" s="22"/>
      <c r="S41" s="26"/>
      <c r="T41" s="26">
        <v>684.4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996.3</v>
      </c>
      <c r="AG41" s="27">
        <f t="shared" si="8"/>
        <v>42.700000000000045</v>
      </c>
      <c r="AH41" s="6"/>
    </row>
    <row r="42" spans="1:33" ht="15.7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>
        <v>0.4</v>
      </c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</v>
      </c>
    </row>
    <row r="43" spans="1:33" ht="15.75">
      <c r="A43" s="3" t="s">
        <v>1</v>
      </c>
      <c r="B43" s="22">
        <v>8</v>
      </c>
      <c r="C43" s="22">
        <v>8.1</v>
      </c>
      <c r="D43" s="22"/>
      <c r="E43" s="22"/>
      <c r="F43" s="22"/>
      <c r="G43" s="22"/>
      <c r="H43" s="22">
        <v>2.1</v>
      </c>
      <c r="I43" s="22"/>
      <c r="J43" s="26"/>
      <c r="K43" s="22">
        <v>4.3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9.700000000000001</v>
      </c>
    </row>
    <row r="44" spans="1:33" ht="15.75">
      <c r="A44" s="3" t="s">
        <v>2</v>
      </c>
      <c r="B44" s="22">
        <v>6.5</v>
      </c>
      <c r="C44" s="22">
        <v>107.3</v>
      </c>
      <c r="D44" s="22"/>
      <c r="E44" s="22"/>
      <c r="F44" s="22"/>
      <c r="G44" s="22"/>
      <c r="H44" s="22">
        <v>2.7</v>
      </c>
      <c r="I44" s="22"/>
      <c r="J44" s="26"/>
      <c r="K44" s="22">
        <v>3.1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5.800000000000001</v>
      </c>
      <c r="AG44" s="27">
        <f t="shared" si="8"/>
        <v>108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28.799999999999955</v>
      </c>
      <c r="C46" s="22">
        <f t="shared" si="10"/>
        <v>35.39999999999999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14.7</v>
      </c>
      <c r="I46" s="22">
        <f t="shared" si="10"/>
        <v>0</v>
      </c>
      <c r="J46" s="22">
        <f t="shared" si="10"/>
        <v>0</v>
      </c>
      <c r="K46" s="22">
        <f t="shared" si="10"/>
        <v>6.900000000000011</v>
      </c>
      <c r="L46" s="22">
        <f t="shared" si="10"/>
        <v>24.6</v>
      </c>
      <c r="M46" s="22">
        <f t="shared" si="10"/>
        <v>0.6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7.2000000000000455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54.00000000000006</v>
      </c>
      <c r="AG46" s="27">
        <f>AG40-AG41-AG42-AG43-AG44-AG45</f>
        <v>10.19999999999986</v>
      </c>
    </row>
    <row r="47" spans="1:33" ht="17.25" customHeight="1">
      <c r="A47" s="4" t="s">
        <v>43</v>
      </c>
      <c r="B47" s="36">
        <f>1356.6+7.5+1-349.3</f>
        <v>1015.8</v>
      </c>
      <c r="C47" s="22">
        <v>2319.1</v>
      </c>
      <c r="D47" s="22"/>
      <c r="E47" s="28">
        <v>38.6</v>
      </c>
      <c r="F47" s="28"/>
      <c r="G47" s="28"/>
      <c r="H47" s="28"/>
      <c r="I47" s="28"/>
      <c r="J47" s="29">
        <v>147.1</v>
      </c>
      <c r="K47" s="28"/>
      <c r="L47" s="28"/>
      <c r="M47" s="28">
        <v>62.7</v>
      </c>
      <c r="N47" s="28"/>
      <c r="O47" s="31">
        <v>13.6</v>
      </c>
      <c r="P47" s="28">
        <v>82.7</v>
      </c>
      <c r="Q47" s="28">
        <v>577.3</v>
      </c>
      <c r="R47" s="28">
        <v>569.7</v>
      </c>
      <c r="S47" s="29">
        <v>134.9</v>
      </c>
      <c r="T47" s="29">
        <v>13.5</v>
      </c>
      <c r="U47" s="28">
        <v>74.3</v>
      </c>
      <c r="V47" s="28">
        <v>8.5</v>
      </c>
      <c r="W47" s="28">
        <v>12.4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1735.3000000000002</v>
      </c>
      <c r="AG47" s="27">
        <f>B47+C47-AF47</f>
        <v>1599.5999999999995</v>
      </c>
    </row>
    <row r="48" spans="1:33" ht="15.75">
      <c r="A48" s="3" t="s">
        <v>5</v>
      </c>
      <c r="B48" s="22">
        <v>37.3</v>
      </c>
      <c r="C48" s="22">
        <v>39.9</v>
      </c>
      <c r="D48" s="22"/>
      <c r="E48" s="28"/>
      <c r="F48" s="28"/>
      <c r="G48" s="28"/>
      <c r="H48" s="28"/>
      <c r="I48" s="28"/>
      <c r="J48" s="29">
        <v>11</v>
      </c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25.2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36.2</v>
      </c>
      <c r="AG48" s="27">
        <f>B48+C48-AF48</f>
        <v>40.999999999999986</v>
      </c>
    </row>
    <row r="49" spans="1:33" ht="15.75">
      <c r="A49" s="3" t="s">
        <v>16</v>
      </c>
      <c r="B49" s="22">
        <f>1141.2-10.6+1-351</f>
        <v>780.6000000000001</v>
      </c>
      <c r="C49" s="22">
        <v>1981.1</v>
      </c>
      <c r="D49" s="22"/>
      <c r="E49" s="22"/>
      <c r="F49" s="22"/>
      <c r="G49" s="22"/>
      <c r="H49" s="22"/>
      <c r="I49" s="22"/>
      <c r="J49" s="26">
        <v>136.1</v>
      </c>
      <c r="K49" s="22"/>
      <c r="L49" s="22"/>
      <c r="M49" s="22">
        <v>61.2</v>
      </c>
      <c r="N49" s="22"/>
      <c r="O49" s="27"/>
      <c r="P49" s="22">
        <v>82.4</v>
      </c>
      <c r="Q49" s="22">
        <v>574</v>
      </c>
      <c r="R49" s="22">
        <v>566.9</v>
      </c>
      <c r="S49" s="26">
        <v>64.7</v>
      </c>
      <c r="T49" s="26"/>
      <c r="U49" s="22">
        <v>43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1528.3</v>
      </c>
      <c r="AG49" s="27">
        <f>B49+C49-AF49</f>
        <v>1233.3999999999999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197.89999999999986</v>
      </c>
      <c r="C51" s="22">
        <f t="shared" si="11"/>
        <v>298.0999999999999</v>
      </c>
      <c r="D51" s="22">
        <f t="shared" si="11"/>
        <v>0</v>
      </c>
      <c r="E51" s="22">
        <f t="shared" si="11"/>
        <v>38.6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1.5</v>
      </c>
      <c r="N51" s="22">
        <f t="shared" si="11"/>
        <v>0</v>
      </c>
      <c r="O51" s="22">
        <f t="shared" si="11"/>
        <v>13.6</v>
      </c>
      <c r="P51" s="22">
        <f t="shared" si="11"/>
        <v>0.29999999999999716</v>
      </c>
      <c r="Q51" s="22">
        <f t="shared" si="11"/>
        <v>3.2999999999999545</v>
      </c>
      <c r="R51" s="22">
        <f t="shared" si="11"/>
        <v>2.800000000000068</v>
      </c>
      <c r="S51" s="22">
        <f t="shared" si="11"/>
        <v>70.2</v>
      </c>
      <c r="T51" s="22">
        <f t="shared" si="11"/>
        <v>13.5</v>
      </c>
      <c r="U51" s="22">
        <f t="shared" si="11"/>
        <v>6.099999999999994</v>
      </c>
      <c r="V51" s="22">
        <f t="shared" si="11"/>
        <v>8.5</v>
      </c>
      <c r="W51" s="22">
        <f t="shared" si="11"/>
        <v>12.4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170.8</v>
      </c>
      <c r="AG51" s="27">
        <f>AG47-AG49-AG48</f>
        <v>325.1999999999996</v>
      </c>
    </row>
    <row r="52" spans="1:33" ht="15" customHeight="1">
      <c r="A52" s="4" t="s">
        <v>0</v>
      </c>
      <c r="B52" s="22">
        <f>4755.2-1700.7+200-50+0.1</f>
        <v>3204.6</v>
      </c>
      <c r="C52" s="22">
        <v>3363.6</v>
      </c>
      <c r="D52" s="22"/>
      <c r="E52" s="22">
        <v>425.6</v>
      </c>
      <c r="F52" s="22">
        <v>142.7</v>
      </c>
      <c r="G52" s="22">
        <v>67.7</v>
      </c>
      <c r="H52" s="22">
        <v>395.7</v>
      </c>
      <c r="I52" s="22">
        <v>90</v>
      </c>
      <c r="J52" s="26"/>
      <c r="K52" s="22">
        <v>354.3</v>
      </c>
      <c r="L52" s="22"/>
      <c r="M52" s="22">
        <v>716.6</v>
      </c>
      <c r="N52" s="22"/>
      <c r="O52" s="27"/>
      <c r="P52" s="22"/>
      <c r="Q52" s="22">
        <v>461.5</v>
      </c>
      <c r="R52" s="22"/>
      <c r="S52" s="26">
        <v>2</v>
      </c>
      <c r="T52" s="26">
        <v>8.7</v>
      </c>
      <c r="U52" s="26">
        <v>1653</v>
      </c>
      <c r="V52" s="26">
        <v>100.2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4417.999999999999</v>
      </c>
      <c r="AG52" s="27">
        <f aca="true" t="shared" si="12" ref="AG52:AG59">B52+C52-AF52</f>
        <v>2150.2000000000007</v>
      </c>
    </row>
    <row r="53" spans="1:33" ht="15" customHeight="1">
      <c r="A53" s="3" t="s">
        <v>2</v>
      </c>
      <c r="B53" s="22">
        <f>677.2+2.4-200.1</f>
        <v>479.5</v>
      </c>
      <c r="C53" s="22">
        <v>402.7</v>
      </c>
      <c r="D53" s="22"/>
      <c r="E53" s="22"/>
      <c r="F53" s="22"/>
      <c r="G53" s="22">
        <v>67.7</v>
      </c>
      <c r="H53" s="22">
        <v>6.3</v>
      </c>
      <c r="I53" s="22">
        <v>0.4</v>
      </c>
      <c r="J53" s="26"/>
      <c r="K53" s="22"/>
      <c r="L53" s="22"/>
      <c r="M53" s="22">
        <v>21.5</v>
      </c>
      <c r="N53" s="22"/>
      <c r="O53" s="27"/>
      <c r="P53" s="22"/>
      <c r="Q53" s="22"/>
      <c r="R53" s="22"/>
      <c r="S53" s="26"/>
      <c r="T53" s="26">
        <v>2.2</v>
      </c>
      <c r="U53" s="26">
        <v>658.8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756.9</v>
      </c>
      <c r="AG53" s="27">
        <f t="shared" si="12"/>
        <v>125.30000000000007</v>
      </c>
    </row>
    <row r="54" spans="1:34" ht="15" customHeight="1">
      <c r="A54" s="4" t="s">
        <v>9</v>
      </c>
      <c r="B54" s="44">
        <f>10627.5+152</f>
        <v>10779.5</v>
      </c>
      <c r="C54" s="22">
        <v>1234.2</v>
      </c>
      <c r="D54" s="22"/>
      <c r="E54" s="22"/>
      <c r="F54" s="22">
        <v>232.7</v>
      </c>
      <c r="G54" s="22">
        <v>321.1</v>
      </c>
      <c r="H54" s="22">
        <v>2.4</v>
      </c>
      <c r="I54" s="22">
        <v>12</v>
      </c>
      <c r="J54" s="26"/>
      <c r="K54" s="22">
        <v>6337.9</v>
      </c>
      <c r="L54" s="22"/>
      <c r="M54" s="22"/>
      <c r="N54" s="22">
        <v>109.8</v>
      </c>
      <c r="O54" s="27"/>
      <c r="P54" s="22">
        <v>15.3</v>
      </c>
      <c r="Q54" s="27">
        <v>36.6</v>
      </c>
      <c r="R54" s="22">
        <v>1.7</v>
      </c>
      <c r="S54" s="26">
        <v>83.7</v>
      </c>
      <c r="T54" s="26"/>
      <c r="U54" s="26">
        <v>2979.8</v>
      </c>
      <c r="V54" s="26">
        <v>0.2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10133.2</v>
      </c>
      <c r="AG54" s="22">
        <f t="shared" si="12"/>
        <v>1880.5</v>
      </c>
      <c r="AH54" s="6"/>
    </row>
    <row r="55" spans="1:34" ht="15.75">
      <c r="A55" s="3" t="s">
        <v>5</v>
      </c>
      <c r="B55" s="22">
        <f>9870.1+152</f>
        <v>10022.1</v>
      </c>
      <c r="C55" s="22">
        <v>237.1</v>
      </c>
      <c r="D55" s="22"/>
      <c r="E55" s="22"/>
      <c r="F55" s="22"/>
      <c r="G55" s="22"/>
      <c r="H55" s="22"/>
      <c r="I55" s="22"/>
      <c r="J55" s="26"/>
      <c r="K55" s="22">
        <v>6335.8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2919.9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9255.7</v>
      </c>
      <c r="AG55" s="22">
        <f t="shared" si="12"/>
        <v>1003.5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32.3</v>
      </c>
      <c r="C57" s="22">
        <v>80.4</v>
      </c>
      <c r="D57" s="22"/>
      <c r="E57" s="22"/>
      <c r="F57" s="22">
        <v>7.4</v>
      </c>
      <c r="G57" s="22">
        <v>0.6</v>
      </c>
      <c r="H57" s="22">
        <v>1.6</v>
      </c>
      <c r="I57" s="22"/>
      <c r="J57" s="26"/>
      <c r="K57" s="22">
        <v>1.5</v>
      </c>
      <c r="L57" s="22"/>
      <c r="M57" s="22"/>
      <c r="N57" s="22"/>
      <c r="O57" s="27"/>
      <c r="P57" s="22"/>
      <c r="Q57" s="27"/>
      <c r="R57" s="22"/>
      <c r="S57" s="26"/>
      <c r="T57" s="26"/>
      <c r="U57" s="26">
        <v>8.1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19.2</v>
      </c>
      <c r="AG57" s="22">
        <f t="shared" si="12"/>
        <v>93.5</v>
      </c>
    </row>
    <row r="58" spans="1:33" ht="15.75">
      <c r="A58" s="3" t="s">
        <v>16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725.0999999999997</v>
      </c>
      <c r="C60" s="22">
        <f t="shared" si="13"/>
        <v>916.7</v>
      </c>
      <c r="D60" s="22">
        <f t="shared" si="13"/>
        <v>0</v>
      </c>
      <c r="E60" s="22">
        <f t="shared" si="13"/>
        <v>0</v>
      </c>
      <c r="F60" s="22">
        <f t="shared" si="13"/>
        <v>225.29999999999998</v>
      </c>
      <c r="G60" s="22">
        <f t="shared" si="13"/>
        <v>320.5</v>
      </c>
      <c r="H60" s="22">
        <f t="shared" si="13"/>
        <v>0.7999999999999998</v>
      </c>
      <c r="I60" s="22">
        <f t="shared" si="13"/>
        <v>12</v>
      </c>
      <c r="J60" s="22">
        <f t="shared" si="13"/>
        <v>0</v>
      </c>
      <c r="K60" s="22">
        <f t="shared" si="13"/>
        <v>0.5999999999994543</v>
      </c>
      <c r="L60" s="22">
        <f t="shared" si="13"/>
        <v>0</v>
      </c>
      <c r="M60" s="22">
        <f t="shared" si="13"/>
        <v>0</v>
      </c>
      <c r="N60" s="22">
        <f t="shared" si="13"/>
        <v>109.8</v>
      </c>
      <c r="O60" s="22">
        <f t="shared" si="13"/>
        <v>0</v>
      </c>
      <c r="P60" s="22">
        <f t="shared" si="13"/>
        <v>15.3</v>
      </c>
      <c r="Q60" s="22">
        <f t="shared" si="13"/>
        <v>36.6</v>
      </c>
      <c r="R60" s="22">
        <f t="shared" si="13"/>
        <v>1.7</v>
      </c>
      <c r="S60" s="22">
        <f t="shared" si="13"/>
        <v>83.7</v>
      </c>
      <c r="T60" s="22">
        <f t="shared" si="13"/>
        <v>0</v>
      </c>
      <c r="U60" s="22">
        <f t="shared" si="13"/>
        <v>51.80000000000009</v>
      </c>
      <c r="V60" s="22">
        <f t="shared" si="13"/>
        <v>0.2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858.3</v>
      </c>
      <c r="AG60" s="22">
        <f>AG54-AG55-AG57-AG59-AG56-AG58</f>
        <v>783.5</v>
      </c>
    </row>
    <row r="61" spans="1:33" ht="15" customHeight="1">
      <c r="A61" s="4" t="s">
        <v>10</v>
      </c>
      <c r="B61" s="22">
        <f>147.3+153.4</f>
        <v>300.70000000000005</v>
      </c>
      <c r="C61" s="22">
        <v>71.2</v>
      </c>
      <c r="D61" s="22"/>
      <c r="E61" s="22">
        <v>6.6</v>
      </c>
      <c r="F61" s="22">
        <v>2.7</v>
      </c>
      <c r="G61" s="22">
        <v>4</v>
      </c>
      <c r="H61" s="22"/>
      <c r="I61" s="22"/>
      <c r="J61" s="26"/>
      <c r="K61" s="22">
        <v>0.2</v>
      </c>
      <c r="L61" s="22">
        <v>6.5</v>
      </c>
      <c r="M61" s="22"/>
      <c r="N61" s="22"/>
      <c r="O61" s="27"/>
      <c r="P61" s="22"/>
      <c r="Q61" s="27">
        <v>6.9</v>
      </c>
      <c r="R61" s="22"/>
      <c r="S61" s="26"/>
      <c r="T61" s="26">
        <v>61</v>
      </c>
      <c r="U61" s="26">
        <v>27.1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115</v>
      </c>
      <c r="AG61" s="22">
        <f aca="true" t="shared" si="15" ref="AG61:AG67">B61+C61-AF61</f>
        <v>256.90000000000003</v>
      </c>
    </row>
    <row r="62" spans="1:33" ht="15" customHeight="1">
      <c r="A62" s="4" t="s">
        <v>11</v>
      </c>
      <c r="B62" s="22">
        <f>2619.8-143.1+27.7+70-0.1</f>
        <v>2574.3</v>
      </c>
      <c r="C62" s="22">
        <f>1822.1-1000</f>
        <v>822.0999999999999</v>
      </c>
      <c r="D62" s="22"/>
      <c r="E62" s="22">
        <v>23.6</v>
      </c>
      <c r="F62" s="22">
        <v>2.9</v>
      </c>
      <c r="G62" s="22"/>
      <c r="H62" s="22">
        <v>21.3</v>
      </c>
      <c r="I62" s="22"/>
      <c r="J62" s="26"/>
      <c r="K62" s="22">
        <v>690.8</v>
      </c>
      <c r="L62" s="22"/>
      <c r="M62" s="22"/>
      <c r="N62" s="22"/>
      <c r="O62" s="27"/>
      <c r="P62" s="22"/>
      <c r="Q62" s="27"/>
      <c r="R62" s="22"/>
      <c r="S62" s="26">
        <v>52.8</v>
      </c>
      <c r="T62" s="26"/>
      <c r="U62" s="26">
        <v>1394.2</v>
      </c>
      <c r="V62" s="26">
        <v>84.1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2269.7</v>
      </c>
      <c r="AG62" s="22">
        <f t="shared" si="15"/>
        <v>1126.7000000000003</v>
      </c>
    </row>
    <row r="63" spans="1:34" ht="15.75">
      <c r="A63" s="3" t="s">
        <v>5</v>
      </c>
      <c r="B63" s="22">
        <v>1848.1</v>
      </c>
      <c r="C63" s="22">
        <v>505.4</v>
      </c>
      <c r="D63" s="22"/>
      <c r="E63" s="22"/>
      <c r="F63" s="22"/>
      <c r="G63" s="22"/>
      <c r="H63" s="22"/>
      <c r="I63" s="22"/>
      <c r="J63" s="26"/>
      <c r="K63" s="22">
        <v>527.1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1240.6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1767.6999999999998</v>
      </c>
      <c r="AG63" s="22">
        <f t="shared" si="15"/>
        <v>585.8000000000002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f>64-5.6</f>
        <v>58.4</v>
      </c>
      <c r="C65" s="22">
        <v>57.1</v>
      </c>
      <c r="D65" s="22"/>
      <c r="E65" s="22">
        <v>4</v>
      </c>
      <c r="F65" s="22"/>
      <c r="G65" s="22"/>
      <c r="H65" s="22">
        <v>9.4</v>
      </c>
      <c r="I65" s="22"/>
      <c r="J65" s="26"/>
      <c r="K65" s="22">
        <v>2.4</v>
      </c>
      <c r="L65" s="22"/>
      <c r="M65" s="22"/>
      <c r="N65" s="22"/>
      <c r="O65" s="27"/>
      <c r="P65" s="22"/>
      <c r="Q65" s="27"/>
      <c r="R65" s="22"/>
      <c r="S65" s="26">
        <v>4.7</v>
      </c>
      <c r="T65" s="26"/>
      <c r="U65" s="26">
        <v>1.2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21.7</v>
      </c>
      <c r="AG65" s="22">
        <f t="shared" si="15"/>
        <v>93.8</v>
      </c>
      <c r="AH65" s="6"/>
    </row>
    <row r="66" spans="1:33" ht="15.75">
      <c r="A66" s="3" t="s">
        <v>2</v>
      </c>
      <c r="B66" s="22">
        <f>13.4+2.7-3</f>
        <v>13.100000000000001</v>
      </c>
      <c r="C66" s="22">
        <f>136.7-72.6</f>
        <v>64.1</v>
      </c>
      <c r="D66" s="22"/>
      <c r="E66" s="22">
        <v>0.4</v>
      </c>
      <c r="F66" s="22"/>
      <c r="G66" s="22"/>
      <c r="H66" s="22">
        <v>1.3</v>
      </c>
      <c r="I66" s="22"/>
      <c r="J66" s="26"/>
      <c r="K66" s="22">
        <v>1.5</v>
      </c>
      <c r="L66" s="22"/>
      <c r="M66" s="22"/>
      <c r="N66" s="22"/>
      <c r="O66" s="27"/>
      <c r="P66" s="22"/>
      <c r="Q66" s="22"/>
      <c r="R66" s="22"/>
      <c r="S66" s="26">
        <v>2</v>
      </c>
      <c r="T66" s="26"/>
      <c r="U66" s="26">
        <v>0.6</v>
      </c>
      <c r="V66" s="26">
        <v>0.5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6.3</v>
      </c>
      <c r="AG66" s="22">
        <f t="shared" si="15"/>
        <v>70.89999999999999</v>
      </c>
    </row>
    <row r="67" spans="1:33" ht="15.75">
      <c r="A67" s="3" t="s">
        <v>16</v>
      </c>
      <c r="B67" s="22">
        <v>43.3</v>
      </c>
      <c r="C67" s="22">
        <v>0</v>
      </c>
      <c r="D67" s="22"/>
      <c r="E67" s="22"/>
      <c r="F67" s="22"/>
      <c r="G67" s="22"/>
      <c r="H67" s="22"/>
      <c r="I67" s="22"/>
      <c r="J67" s="26"/>
      <c r="K67" s="22">
        <v>40</v>
      </c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3.299999999999997</v>
      </c>
    </row>
    <row r="68" spans="1:33" ht="15.75">
      <c r="A68" s="3" t="s">
        <v>23</v>
      </c>
      <c r="B68" s="22">
        <f aca="true" t="shared" si="16" ref="B68:AD68">B62-B63-B66-B67-B65-B64</f>
        <v>611.4000000000003</v>
      </c>
      <c r="C68" s="22">
        <f t="shared" si="16"/>
        <v>195.49999999999994</v>
      </c>
      <c r="D68" s="22">
        <f t="shared" si="16"/>
        <v>0</v>
      </c>
      <c r="E68" s="22">
        <f t="shared" si="16"/>
        <v>19.200000000000003</v>
      </c>
      <c r="F68" s="22">
        <f t="shared" si="16"/>
        <v>2.9</v>
      </c>
      <c r="G68" s="22">
        <f t="shared" si="16"/>
        <v>0</v>
      </c>
      <c r="H68" s="22">
        <f t="shared" si="16"/>
        <v>10.6</v>
      </c>
      <c r="I68" s="22">
        <f t="shared" si="16"/>
        <v>0</v>
      </c>
      <c r="J68" s="22">
        <f t="shared" si="16"/>
        <v>0</v>
      </c>
      <c r="K68" s="22">
        <f t="shared" si="16"/>
        <v>119.79999999999993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46.099999999999994</v>
      </c>
      <c r="T68" s="22">
        <f t="shared" si="16"/>
        <v>0</v>
      </c>
      <c r="U68" s="22">
        <f t="shared" si="16"/>
        <v>151.80000000000015</v>
      </c>
      <c r="V68" s="22">
        <f t="shared" si="16"/>
        <v>83.6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434.0000000000001</v>
      </c>
      <c r="AG68" s="22">
        <f>AG62-AG63-AG66-AG67-AG65-AG64</f>
        <v>372.9000000000001</v>
      </c>
    </row>
    <row r="69" spans="1:33" ht="31.5">
      <c r="A69" s="4" t="s">
        <v>46</v>
      </c>
      <c r="B69" s="22">
        <f>3193.7-450.1</f>
        <v>2743.6</v>
      </c>
      <c r="C69" s="22">
        <v>583.6</v>
      </c>
      <c r="D69" s="22"/>
      <c r="E69" s="22"/>
      <c r="F69" s="22"/>
      <c r="G69" s="22"/>
      <c r="H69" s="22"/>
      <c r="I69" s="22">
        <v>225</v>
      </c>
      <c r="J69" s="26"/>
      <c r="K69" s="22"/>
      <c r="L69" s="22"/>
      <c r="M69" s="22">
        <v>1781.5</v>
      </c>
      <c r="N69" s="22"/>
      <c r="O69" s="22"/>
      <c r="P69" s="22"/>
      <c r="Q69" s="22">
        <v>1097.2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3103.7</v>
      </c>
      <c r="AG69" s="30">
        <f aca="true" t="shared" si="17" ref="AG69:AG92">B69+C69-AF69</f>
        <v>223.5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62.3</v>
      </c>
      <c r="D71" s="28"/>
      <c r="E71" s="28"/>
      <c r="F71" s="28"/>
      <c r="G71" s="28">
        <v>24.5</v>
      </c>
      <c r="H71" s="28"/>
      <c r="I71" s="28">
        <v>1.5</v>
      </c>
      <c r="J71" s="29"/>
      <c r="K71" s="28"/>
      <c r="L71" s="28"/>
      <c r="M71" s="28">
        <v>318.7</v>
      </c>
      <c r="N71" s="28"/>
      <c r="O71" s="28"/>
      <c r="P71" s="28"/>
      <c r="Q71" s="31"/>
      <c r="R71" s="28"/>
      <c r="S71" s="29">
        <v>33.7</v>
      </c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378.4</v>
      </c>
      <c r="AG71" s="30">
        <f t="shared" si="17"/>
        <v>508.79999999999995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1229.4-17+1-1-3.3</f>
        <v>1209.1000000000001</v>
      </c>
      <c r="C72" s="22">
        <f>3116.1+190</f>
        <v>3306.1</v>
      </c>
      <c r="D72" s="22"/>
      <c r="E72" s="22">
        <v>123.5</v>
      </c>
      <c r="F72" s="22">
        <v>12.2</v>
      </c>
      <c r="G72" s="22">
        <v>1.2</v>
      </c>
      <c r="H72" s="22">
        <v>4.2</v>
      </c>
      <c r="I72" s="22">
        <f>50.4+40.3</f>
        <v>90.69999999999999</v>
      </c>
      <c r="J72" s="26">
        <v>0.1</v>
      </c>
      <c r="K72" s="22">
        <v>24</v>
      </c>
      <c r="L72" s="22">
        <v>0.5</v>
      </c>
      <c r="M72" s="22">
        <v>12.9</v>
      </c>
      <c r="N72" s="22">
        <v>17.6</v>
      </c>
      <c r="O72" s="22">
        <v>60.3</v>
      </c>
      <c r="P72" s="22">
        <v>2.2</v>
      </c>
      <c r="Q72" s="27">
        <v>1.7</v>
      </c>
      <c r="R72" s="22">
        <v>4</v>
      </c>
      <c r="S72" s="26">
        <v>2</v>
      </c>
      <c r="T72" s="26">
        <v>191</v>
      </c>
      <c r="U72" s="26">
        <v>38.5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586.5999999999999</v>
      </c>
      <c r="AG72" s="30">
        <f t="shared" si="17"/>
        <v>3928.6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100.7</v>
      </c>
      <c r="C74" s="22">
        <v>903.1</v>
      </c>
      <c r="D74" s="22"/>
      <c r="E74" s="22">
        <v>31.5</v>
      </c>
      <c r="F74" s="22"/>
      <c r="G74" s="22"/>
      <c r="H74" s="22"/>
      <c r="I74" s="22"/>
      <c r="J74" s="26"/>
      <c r="K74" s="22"/>
      <c r="L74" s="22"/>
      <c r="M74" s="22"/>
      <c r="N74" s="22">
        <v>16</v>
      </c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47.5</v>
      </c>
      <c r="AG74" s="30">
        <f t="shared" si="17"/>
        <v>956.3000000000001</v>
      </c>
    </row>
    <row r="75" spans="1:33" ht="15" customHeight="1">
      <c r="A75" s="3" t="s">
        <v>16</v>
      </c>
      <c r="B75" s="22">
        <v>56.8</v>
      </c>
      <c r="C75" s="22">
        <v>265.4</v>
      </c>
      <c r="D75" s="22"/>
      <c r="E75" s="22"/>
      <c r="F75" s="22"/>
      <c r="G75" s="22">
        <v>1.2</v>
      </c>
      <c r="H75" s="22"/>
      <c r="I75" s="22"/>
      <c r="J75" s="26"/>
      <c r="K75" s="22"/>
      <c r="L75" s="22"/>
      <c r="M75" s="22"/>
      <c r="N75" s="22"/>
      <c r="O75" s="22">
        <v>24</v>
      </c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31.6</v>
      </c>
      <c r="AG75" s="30">
        <f t="shared" si="17"/>
        <v>290.59999999999997</v>
      </c>
    </row>
    <row r="76" spans="1:33" s="11" customFormat="1" ht="15.75">
      <c r="A76" s="12" t="s">
        <v>49</v>
      </c>
      <c r="B76" s="22">
        <f>562-330</f>
        <v>232</v>
      </c>
      <c r="C76" s="22">
        <v>117.8</v>
      </c>
      <c r="D76" s="22"/>
      <c r="E76" s="28"/>
      <c r="F76" s="28">
        <v>5.3</v>
      </c>
      <c r="G76" s="28"/>
      <c r="H76" s="28"/>
      <c r="I76" s="28"/>
      <c r="J76" s="29"/>
      <c r="K76" s="28">
        <v>39.2</v>
      </c>
      <c r="L76" s="28"/>
      <c r="M76" s="28"/>
      <c r="N76" s="28">
        <v>0.5</v>
      </c>
      <c r="O76" s="28"/>
      <c r="P76" s="28"/>
      <c r="Q76" s="31"/>
      <c r="R76" s="28">
        <v>5</v>
      </c>
      <c r="S76" s="29"/>
      <c r="T76" s="29">
        <v>82.1</v>
      </c>
      <c r="U76" s="28">
        <v>49.4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181.5</v>
      </c>
      <c r="AG76" s="30">
        <f t="shared" si="17"/>
        <v>168.3</v>
      </c>
    </row>
    <row r="77" spans="1:33" s="11" customFormat="1" ht="15.75">
      <c r="A77" s="3" t="s">
        <v>5</v>
      </c>
      <c r="B77" s="22">
        <v>122</v>
      </c>
      <c r="C77" s="22">
        <v>0.5</v>
      </c>
      <c r="D77" s="22"/>
      <c r="E77" s="28"/>
      <c r="F77" s="28">
        <v>4.3</v>
      </c>
      <c r="G77" s="28"/>
      <c r="H77" s="28"/>
      <c r="I77" s="28"/>
      <c r="J77" s="29"/>
      <c r="K77" s="28">
        <v>35.3</v>
      </c>
      <c r="L77" s="28"/>
      <c r="M77" s="28"/>
      <c r="N77" s="28"/>
      <c r="O77" s="28"/>
      <c r="P77" s="28"/>
      <c r="Q77" s="31"/>
      <c r="R77" s="28"/>
      <c r="S77" s="29"/>
      <c r="T77" s="29">
        <v>82.1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121.69999999999999</v>
      </c>
      <c r="AG77" s="30">
        <f t="shared" si="17"/>
        <v>0.8000000000000114</v>
      </c>
    </row>
    <row r="78" spans="1:33" s="11" customFormat="1" ht="15.75" hidden="1">
      <c r="A78" s="3" t="s">
        <v>3</v>
      </c>
      <c r="B78" s="22">
        <f>80-80</f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6.1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>
        <v>0.3</v>
      </c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6.1</v>
      </c>
    </row>
    <row r="81" spans="1:33" s="11" customFormat="1" ht="15.75">
      <c r="A81" s="12" t="s">
        <v>50</v>
      </c>
      <c r="B81" s="22">
        <v>61.1</v>
      </c>
      <c r="C81" s="28">
        <v>44.9</v>
      </c>
      <c r="D81" s="28"/>
      <c r="E81" s="28"/>
      <c r="F81" s="28"/>
      <c r="G81" s="28"/>
      <c r="H81" s="28"/>
      <c r="I81" s="28">
        <v>57.1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57.1</v>
      </c>
      <c r="AG81" s="30">
        <f t="shared" si="17"/>
        <v>48.9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64</v>
      </c>
      <c r="B83" s="28">
        <f>1143.1-220</f>
        <v>923.0999999999999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923.0999999999999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9656.4-1091.4-108.4-6057.3-180+130-0.1</f>
        <v>2349.2000000000003</v>
      </c>
      <c r="C89" s="22">
        <v>2103.6</v>
      </c>
      <c r="D89" s="22"/>
      <c r="E89" s="22"/>
      <c r="F89" s="22">
        <v>141.2</v>
      </c>
      <c r="G89" s="22">
        <v>292.3</v>
      </c>
      <c r="H89" s="22"/>
      <c r="I89" s="22">
        <v>801.4</v>
      </c>
      <c r="J89" s="22"/>
      <c r="K89" s="22">
        <v>477.6</v>
      </c>
      <c r="L89" s="22"/>
      <c r="M89" s="22"/>
      <c r="N89" s="22"/>
      <c r="O89" s="22"/>
      <c r="P89" s="22"/>
      <c r="Q89" s="22">
        <v>359.1</v>
      </c>
      <c r="R89" s="22">
        <v>87.9</v>
      </c>
      <c r="S89" s="26"/>
      <c r="T89" s="26">
        <v>633.3</v>
      </c>
      <c r="U89" s="22">
        <v>568.8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3361.6000000000004</v>
      </c>
      <c r="AG89" s="22">
        <f t="shared" si="17"/>
        <v>1091.1999999999998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819.1</v>
      </c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9.6</v>
      </c>
      <c r="C91" s="22">
        <f>2553.3-150-1500</f>
        <v>903.3000000000002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912.9000000000002</v>
      </c>
      <c r="AH91" s="11"/>
    </row>
    <row r="92" spans="1:34" ht="15.75">
      <c r="A92" s="4" t="s">
        <v>37</v>
      </c>
      <c r="B92" s="22">
        <f>691.3+1091.4+108.4+6057.3+2330.7-3305.4+220</f>
        <v>7193.700000000001</v>
      </c>
      <c r="C92" s="22">
        <v>0</v>
      </c>
      <c r="D92" s="22"/>
      <c r="E92" s="22">
        <v>691.3</v>
      </c>
      <c r="F92" s="22"/>
      <c r="G92" s="22"/>
      <c r="H92" s="22">
        <v>550.4</v>
      </c>
      <c r="I92" s="22"/>
      <c r="J92" s="22"/>
      <c r="K92" s="22"/>
      <c r="L92" s="22">
        <v>1878.3</v>
      </c>
      <c r="M92" s="22">
        <v>788.4</v>
      </c>
      <c r="N92" s="22">
        <v>1157.7</v>
      </c>
      <c r="O92" s="22"/>
      <c r="P92" s="22"/>
      <c r="Q92" s="22">
        <v>1447.6</v>
      </c>
      <c r="R92" s="22">
        <v>460</v>
      </c>
      <c r="S92" s="26">
        <v>220</v>
      </c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7193.700000000001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176712.70000000004</v>
      </c>
      <c r="C94" s="42">
        <f t="shared" si="18"/>
        <v>82827.00000000004</v>
      </c>
      <c r="D94" s="42">
        <f t="shared" si="18"/>
        <v>0</v>
      </c>
      <c r="E94" s="42">
        <f t="shared" si="18"/>
        <v>13527.599999999999</v>
      </c>
      <c r="F94" s="42">
        <f t="shared" si="18"/>
        <v>1124.3999999999999</v>
      </c>
      <c r="G94" s="42">
        <f t="shared" si="18"/>
        <v>801.7</v>
      </c>
      <c r="H94" s="42">
        <f t="shared" si="18"/>
        <v>1255.1999999999998</v>
      </c>
      <c r="I94" s="42">
        <f t="shared" si="18"/>
        <v>4920</v>
      </c>
      <c r="J94" s="42">
        <f t="shared" si="18"/>
        <v>24142.3</v>
      </c>
      <c r="K94" s="42">
        <f t="shared" si="18"/>
        <v>35467.29999999999</v>
      </c>
      <c r="L94" s="42">
        <f t="shared" si="18"/>
        <v>2245.3</v>
      </c>
      <c r="M94" s="42">
        <f t="shared" si="18"/>
        <v>3716.1</v>
      </c>
      <c r="N94" s="42">
        <f t="shared" si="18"/>
        <v>1694</v>
      </c>
      <c r="O94" s="42">
        <f t="shared" si="18"/>
        <v>1890.8999999999999</v>
      </c>
      <c r="P94" s="42">
        <f t="shared" si="18"/>
        <v>1131.3</v>
      </c>
      <c r="Q94" s="42">
        <f t="shared" si="18"/>
        <v>4540</v>
      </c>
      <c r="R94" s="42">
        <f t="shared" si="18"/>
        <v>1194.3000000000002</v>
      </c>
      <c r="S94" s="42">
        <f t="shared" si="18"/>
        <v>9310.500000000002</v>
      </c>
      <c r="T94" s="42">
        <f t="shared" si="18"/>
        <v>21321.699999999997</v>
      </c>
      <c r="U94" s="42">
        <f t="shared" si="18"/>
        <v>37010.5</v>
      </c>
      <c r="V94" s="42">
        <f t="shared" si="18"/>
        <v>3595.899999999999</v>
      </c>
      <c r="W94" s="42">
        <f t="shared" si="18"/>
        <v>831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169720</v>
      </c>
      <c r="AG94" s="58">
        <f>AG10+AG15+AG24+AG33+AG47+AG52+AG54+AG61+AG62+AG69+AG71+AG72+AG76+AG81+AG82+AG83+AG88+AG89+AG90+AG91+AG70+AG40+AG92</f>
        <v>89819.70000000004</v>
      </c>
    </row>
    <row r="95" spans="1:33" ht="15.75">
      <c r="A95" s="3" t="s">
        <v>5</v>
      </c>
      <c r="B95" s="22">
        <f aca="true" t="shared" si="19" ref="B95:AD95">B11+B17+B26+B34+B55+B63+B73+B41+B77+B48</f>
        <v>110818.5</v>
      </c>
      <c r="C95" s="22">
        <f t="shared" si="19"/>
        <v>39028.9</v>
      </c>
      <c r="D95" s="22">
        <f t="shared" si="19"/>
        <v>0</v>
      </c>
      <c r="E95" s="22">
        <f t="shared" si="19"/>
        <v>9378.9</v>
      </c>
      <c r="F95" s="22">
        <f t="shared" si="19"/>
        <v>8.399999999999999</v>
      </c>
      <c r="G95" s="22">
        <f t="shared" si="19"/>
        <v>0</v>
      </c>
      <c r="H95" s="22">
        <f t="shared" si="19"/>
        <v>0</v>
      </c>
      <c r="I95" s="22">
        <f t="shared" si="19"/>
        <v>23.5</v>
      </c>
      <c r="J95" s="22">
        <f t="shared" si="19"/>
        <v>23829.4</v>
      </c>
      <c r="K95" s="22">
        <f t="shared" si="19"/>
        <v>23666.199999999997</v>
      </c>
      <c r="L95" s="22">
        <f t="shared" si="19"/>
        <v>270</v>
      </c>
      <c r="M95" s="22">
        <f t="shared" si="19"/>
        <v>0</v>
      </c>
      <c r="N95" s="22">
        <f t="shared" si="19"/>
        <v>34.7</v>
      </c>
      <c r="O95" s="22">
        <f t="shared" si="19"/>
        <v>9.5</v>
      </c>
      <c r="P95" s="22">
        <f t="shared" si="19"/>
        <v>23.7</v>
      </c>
      <c r="Q95" s="22">
        <f t="shared" si="19"/>
        <v>39.5</v>
      </c>
      <c r="R95" s="22">
        <f t="shared" si="19"/>
        <v>0</v>
      </c>
      <c r="S95" s="22">
        <f t="shared" si="19"/>
        <v>8478</v>
      </c>
      <c r="T95" s="22">
        <f t="shared" si="19"/>
        <v>1159</v>
      </c>
      <c r="U95" s="22">
        <f t="shared" si="19"/>
        <v>33261.1</v>
      </c>
      <c r="V95" s="22">
        <f t="shared" si="19"/>
        <v>3323.9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103505.79999999999</v>
      </c>
      <c r="AG95" s="27">
        <f>B95+C95-AF95</f>
        <v>46341.600000000006</v>
      </c>
    </row>
    <row r="96" spans="1:33" ht="15.75">
      <c r="A96" s="3" t="s">
        <v>2</v>
      </c>
      <c r="B96" s="22">
        <f aca="true" t="shared" si="20" ref="B96:AD96">B12+B20+B29+B36+B57+B66+B44+B80+B74+B53</f>
        <v>5070.1</v>
      </c>
      <c r="C96" s="22">
        <f t="shared" si="20"/>
        <v>5246.2</v>
      </c>
      <c r="D96" s="22">
        <f t="shared" si="20"/>
        <v>0</v>
      </c>
      <c r="E96" s="22">
        <f t="shared" si="20"/>
        <v>76.3</v>
      </c>
      <c r="F96" s="22">
        <f t="shared" si="20"/>
        <v>237.70000000000002</v>
      </c>
      <c r="G96" s="22">
        <f t="shared" si="20"/>
        <v>69.7</v>
      </c>
      <c r="H96" s="22">
        <f t="shared" si="20"/>
        <v>222</v>
      </c>
      <c r="I96" s="22">
        <f t="shared" si="20"/>
        <v>480.29999999999995</v>
      </c>
      <c r="J96" s="22">
        <f t="shared" si="20"/>
        <v>4.2</v>
      </c>
      <c r="K96" s="22">
        <f t="shared" si="20"/>
        <v>7.800000000000001</v>
      </c>
      <c r="L96" s="22">
        <f t="shared" si="20"/>
        <v>0</v>
      </c>
      <c r="M96" s="22">
        <f t="shared" si="20"/>
        <v>35.6</v>
      </c>
      <c r="N96" s="22">
        <f t="shared" si="20"/>
        <v>27.4</v>
      </c>
      <c r="O96" s="22">
        <f t="shared" si="20"/>
        <v>12.6</v>
      </c>
      <c r="P96" s="22">
        <f t="shared" si="20"/>
        <v>1</v>
      </c>
      <c r="Q96" s="22">
        <f t="shared" si="20"/>
        <v>35.7</v>
      </c>
      <c r="R96" s="22">
        <f t="shared" si="20"/>
        <v>0</v>
      </c>
      <c r="S96" s="22">
        <f t="shared" si="20"/>
        <v>42.9</v>
      </c>
      <c r="T96" s="22">
        <f t="shared" si="20"/>
        <v>538.8000000000001</v>
      </c>
      <c r="U96" s="22">
        <f t="shared" si="20"/>
        <v>717.5</v>
      </c>
      <c r="V96" s="22">
        <f t="shared" si="20"/>
        <v>1.2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2510.7</v>
      </c>
      <c r="AG96" s="27">
        <f>B96+C96-AF96</f>
        <v>7805.599999999999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25.7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0.4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0.4</v>
      </c>
      <c r="AG97" s="27">
        <f>B97+C97-AF97</f>
        <v>25.3</v>
      </c>
    </row>
    <row r="98" spans="1:33" ht="15.75">
      <c r="A98" s="3" t="s">
        <v>1</v>
      </c>
      <c r="B98" s="22">
        <f aca="true" t="shared" si="22" ref="B98:AD98">B19+B28+B65+B35+B43+B56+B79</f>
        <v>1755.4</v>
      </c>
      <c r="C98" s="22">
        <f t="shared" si="22"/>
        <v>1584.1</v>
      </c>
      <c r="D98" s="22">
        <f t="shared" si="22"/>
        <v>0</v>
      </c>
      <c r="E98" s="22">
        <f t="shared" si="22"/>
        <v>4</v>
      </c>
      <c r="F98" s="22">
        <f t="shared" si="22"/>
        <v>263</v>
      </c>
      <c r="G98" s="22">
        <f t="shared" si="22"/>
        <v>0</v>
      </c>
      <c r="H98" s="22">
        <f t="shared" si="22"/>
        <v>11.5</v>
      </c>
      <c r="I98" s="22">
        <f t="shared" si="22"/>
        <v>1167.5</v>
      </c>
      <c r="J98" s="22">
        <f t="shared" si="22"/>
        <v>18.8</v>
      </c>
      <c r="K98" s="22">
        <f t="shared" si="22"/>
        <v>780.5999999999999</v>
      </c>
      <c r="L98" s="22">
        <f t="shared" si="22"/>
        <v>0</v>
      </c>
      <c r="M98" s="22">
        <f t="shared" si="22"/>
        <v>0</v>
      </c>
      <c r="N98" s="22">
        <f t="shared" si="22"/>
        <v>10.5</v>
      </c>
      <c r="O98" s="22">
        <f t="shared" si="22"/>
        <v>3.7</v>
      </c>
      <c r="P98" s="22">
        <f t="shared" si="22"/>
        <v>87.8</v>
      </c>
      <c r="Q98" s="22">
        <f t="shared" si="22"/>
        <v>8.4</v>
      </c>
      <c r="R98" s="22">
        <f t="shared" si="22"/>
        <v>0</v>
      </c>
      <c r="S98" s="22">
        <f t="shared" si="22"/>
        <v>5.5</v>
      </c>
      <c r="T98" s="22">
        <f t="shared" si="22"/>
        <v>111.3</v>
      </c>
      <c r="U98" s="22">
        <f t="shared" si="22"/>
        <v>1.5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2474.1</v>
      </c>
      <c r="AG98" s="27">
        <f>B98+C98-AF98</f>
        <v>865.4000000000001</v>
      </c>
    </row>
    <row r="99" spans="1:33" ht="15.75">
      <c r="A99" s="3" t="s">
        <v>16</v>
      </c>
      <c r="B99" s="22">
        <f aca="true" t="shared" si="23" ref="B99:X99">B21+B30+B49+B37+B58+B13+B75+B67</f>
        <v>3154.1000000000004</v>
      </c>
      <c r="C99" s="22">
        <f t="shared" si="23"/>
        <v>2865.1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1.2</v>
      </c>
      <c r="H99" s="22">
        <f t="shared" si="23"/>
        <v>0</v>
      </c>
      <c r="I99" s="22">
        <f t="shared" si="23"/>
        <v>44.4</v>
      </c>
      <c r="J99" s="22">
        <f t="shared" si="23"/>
        <v>261.2</v>
      </c>
      <c r="K99" s="22">
        <f t="shared" si="23"/>
        <v>41.2</v>
      </c>
      <c r="L99" s="22">
        <f t="shared" si="23"/>
        <v>0</v>
      </c>
      <c r="M99" s="22">
        <f t="shared" si="23"/>
        <v>61.2</v>
      </c>
      <c r="N99" s="22">
        <f t="shared" si="23"/>
        <v>0</v>
      </c>
      <c r="O99" s="22">
        <f t="shared" si="23"/>
        <v>460.4</v>
      </c>
      <c r="P99" s="22">
        <f t="shared" si="23"/>
        <v>82.4</v>
      </c>
      <c r="Q99" s="22">
        <f t="shared" si="23"/>
        <v>800</v>
      </c>
      <c r="R99" s="22">
        <f t="shared" si="23"/>
        <v>566.9</v>
      </c>
      <c r="S99" s="22">
        <f t="shared" si="23"/>
        <v>64.7</v>
      </c>
      <c r="T99" s="22">
        <f t="shared" si="23"/>
        <v>367.5</v>
      </c>
      <c r="U99" s="22">
        <f t="shared" si="23"/>
        <v>59.4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2810.5</v>
      </c>
      <c r="AG99" s="27">
        <f>B99+C99-AF99</f>
        <v>3208.7000000000007</v>
      </c>
    </row>
    <row r="100" spans="1:33" ht="12.75">
      <c r="A100" s="1" t="s">
        <v>35</v>
      </c>
      <c r="B100" s="2">
        <f aca="true" t="shared" si="25" ref="B100:AD100">B94-B95-B96-B97-B98-B99</f>
        <v>55914.60000000004</v>
      </c>
      <c r="C100" s="2">
        <f t="shared" si="25"/>
        <v>34077.00000000005</v>
      </c>
      <c r="D100" s="2">
        <f t="shared" si="25"/>
        <v>0</v>
      </c>
      <c r="E100" s="2">
        <f t="shared" si="25"/>
        <v>4068.3999999999987</v>
      </c>
      <c r="F100" s="2">
        <f t="shared" si="25"/>
        <v>615.2999999999997</v>
      </c>
      <c r="G100" s="2">
        <f t="shared" si="25"/>
        <v>730.8</v>
      </c>
      <c r="H100" s="2">
        <f t="shared" si="25"/>
        <v>1021.6999999999998</v>
      </c>
      <c r="I100" s="2">
        <f t="shared" si="25"/>
        <v>3204.2999999999997</v>
      </c>
      <c r="J100" s="2">
        <f t="shared" si="25"/>
        <v>28.69999999999783</v>
      </c>
      <c r="K100" s="2">
        <f t="shared" si="25"/>
        <v>10971.49999999999</v>
      </c>
      <c r="L100" s="2">
        <f t="shared" si="25"/>
        <v>1975.3000000000002</v>
      </c>
      <c r="M100" s="2">
        <f t="shared" si="25"/>
        <v>3618.9</v>
      </c>
      <c r="N100" s="2">
        <f t="shared" si="25"/>
        <v>1621.3999999999999</v>
      </c>
      <c r="O100" s="2">
        <f t="shared" si="25"/>
        <v>1404.6999999999998</v>
      </c>
      <c r="P100" s="2">
        <f t="shared" si="25"/>
        <v>936.4</v>
      </c>
      <c r="Q100" s="2">
        <f t="shared" si="25"/>
        <v>3656.4000000000005</v>
      </c>
      <c r="R100" s="2">
        <f t="shared" si="25"/>
        <v>627.4000000000002</v>
      </c>
      <c r="S100" s="2">
        <f t="shared" si="25"/>
        <v>719.4000000000018</v>
      </c>
      <c r="T100" s="2">
        <f t="shared" si="25"/>
        <v>19145.1</v>
      </c>
      <c r="U100" s="2">
        <f t="shared" si="25"/>
        <v>2971.0000000000014</v>
      </c>
      <c r="V100" s="2">
        <f t="shared" si="25"/>
        <v>270.7999999999991</v>
      </c>
      <c r="W100" s="2">
        <f t="shared" si="25"/>
        <v>831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58418.500000000015</v>
      </c>
      <c r="AG100" s="2">
        <f>AG94-AG95-AG96-AG97-AG98-AG99</f>
        <v>31573.10000000003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83" sqref="B8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66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65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29589.8</v>
      </c>
      <c r="C7" s="72">
        <v>89407</v>
      </c>
      <c r="D7" s="45">
        <v>14794.9</v>
      </c>
      <c r="E7" s="46"/>
      <c r="F7" s="46"/>
      <c r="G7" s="46"/>
      <c r="H7" s="74"/>
      <c r="I7" s="46"/>
      <c r="J7" s="47">
        <v>14794.9</v>
      </c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>
        <v>29202.3</v>
      </c>
      <c r="AG7" s="48"/>
    </row>
    <row r="8" spans="1:55" ht="18" customHeight="1">
      <c r="A8" s="60" t="s">
        <v>30</v>
      </c>
      <c r="B8" s="40">
        <f>SUM(D8:AB8)</f>
        <v>131039.92557</v>
      </c>
      <c r="C8" s="40">
        <v>20735.2</v>
      </c>
      <c r="D8" s="43">
        <f>14989.5-1.1</f>
        <v>14988.4</v>
      </c>
      <c r="E8" s="55">
        <v>5765.7</v>
      </c>
      <c r="F8" s="55">
        <v>2960.08</v>
      </c>
      <c r="G8" s="55">
        <v>5276.8</v>
      </c>
      <c r="H8" s="55">
        <v>5518.09</v>
      </c>
      <c r="I8" s="55">
        <v>10202.4</v>
      </c>
      <c r="J8" s="56">
        <v>3228.65557</v>
      </c>
      <c r="K8" s="55">
        <v>2681.5</v>
      </c>
      <c r="L8" s="55">
        <v>2332.3</v>
      </c>
      <c r="M8" s="55">
        <v>4044.3</v>
      </c>
      <c r="N8" s="55">
        <v>8299.4</v>
      </c>
      <c r="O8" s="55">
        <f>4920.2-9.9</f>
        <v>4910.3</v>
      </c>
      <c r="P8" s="55">
        <v>4060</v>
      </c>
      <c r="Q8" s="55">
        <v>6805.2</v>
      </c>
      <c r="R8" s="55">
        <v>6411.4</v>
      </c>
      <c r="S8" s="57">
        <v>7013.3</v>
      </c>
      <c r="T8" s="57">
        <v>4670.7</v>
      </c>
      <c r="U8" s="55">
        <v>5405.6</v>
      </c>
      <c r="V8" s="55">
        <v>6773.4</v>
      </c>
      <c r="W8" s="55">
        <v>6106.3</v>
      </c>
      <c r="X8" s="56">
        <v>13586.1</v>
      </c>
      <c r="Y8" s="56"/>
      <c r="Z8" s="56"/>
      <c r="AA8" s="56"/>
      <c r="AB8" s="55"/>
      <c r="AC8" s="23"/>
      <c r="AD8" s="23"/>
      <c r="AE8" s="61"/>
      <c r="AF8" s="40">
        <v>110304.9</v>
      </c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162613.30000000002</v>
      </c>
      <c r="C9" s="24">
        <f t="shared" si="0"/>
        <v>89819.70000000001</v>
      </c>
      <c r="D9" s="24">
        <f t="shared" si="0"/>
        <v>1011.6</v>
      </c>
      <c r="E9" s="24">
        <f t="shared" si="0"/>
        <v>2762.4</v>
      </c>
      <c r="F9" s="24">
        <f t="shared" si="0"/>
        <v>1147.8999999999999</v>
      </c>
      <c r="G9" s="24">
        <f t="shared" si="0"/>
        <v>4654.4</v>
      </c>
      <c r="H9" s="24">
        <f t="shared" si="0"/>
        <v>5518.1</v>
      </c>
      <c r="I9" s="24">
        <f t="shared" si="0"/>
        <v>5306.5</v>
      </c>
      <c r="J9" s="24">
        <f t="shared" si="0"/>
        <v>2105.24</v>
      </c>
      <c r="K9" s="24">
        <f t="shared" si="0"/>
        <v>16803.999999999996</v>
      </c>
      <c r="L9" s="24">
        <f t="shared" si="0"/>
        <v>5576.35</v>
      </c>
      <c r="M9" s="24">
        <f t="shared" si="0"/>
        <v>8277.1</v>
      </c>
      <c r="N9" s="24">
        <f t="shared" si="0"/>
        <v>3335.7999999999997</v>
      </c>
      <c r="O9" s="24">
        <f t="shared" si="0"/>
        <v>4091.1299999999997</v>
      </c>
      <c r="P9" s="24">
        <f t="shared" si="0"/>
        <v>1289.4</v>
      </c>
      <c r="Q9" s="24">
        <f t="shared" si="0"/>
        <v>3470.8999999999996</v>
      </c>
      <c r="R9" s="24">
        <f t="shared" si="0"/>
        <v>5854.860000000001</v>
      </c>
      <c r="S9" s="24">
        <f t="shared" si="0"/>
        <v>2618.1</v>
      </c>
      <c r="T9" s="24">
        <f t="shared" si="0"/>
        <v>8042.1</v>
      </c>
      <c r="U9" s="24">
        <f t="shared" si="0"/>
        <v>12502.820000000002</v>
      </c>
      <c r="V9" s="24">
        <f t="shared" si="0"/>
        <v>17203.600000000002</v>
      </c>
      <c r="W9" s="24">
        <f t="shared" si="0"/>
        <v>6106.3</v>
      </c>
      <c r="X9" s="24">
        <f t="shared" si="0"/>
        <v>13586.11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131264.71000000002</v>
      </c>
      <c r="AG9" s="50">
        <f>AG10+AG15+AG24+AG33+AG47+AG52+AG54+AG61+AG62+AG71+AG72+AG76+AG88+AG81+AG83+AG82+AG69+AG89+AG91+AG90+AG70+AG40+AG92</f>
        <v>121168.28999999998</v>
      </c>
      <c r="AH9" s="49"/>
      <c r="AI9" s="49"/>
    </row>
    <row r="10" spans="1:33" ht="15.75">
      <c r="A10" s="77" t="s">
        <v>4</v>
      </c>
      <c r="B10" s="26">
        <f>13353.2-200</f>
        <v>13153.2</v>
      </c>
      <c r="C10" s="26">
        <v>27713.8</v>
      </c>
      <c r="D10" s="22">
        <v>8.4</v>
      </c>
      <c r="E10" s="22">
        <v>212.3</v>
      </c>
      <c r="F10" s="22">
        <v>70.1</v>
      </c>
      <c r="G10" s="22">
        <v>36.6</v>
      </c>
      <c r="H10" s="22">
        <v>7.2</v>
      </c>
      <c r="I10" s="22">
        <v>110.1</v>
      </c>
      <c r="J10" s="25">
        <v>1542.8</v>
      </c>
      <c r="K10" s="22">
        <v>2778.2</v>
      </c>
      <c r="L10" s="22">
        <v>781.7</v>
      </c>
      <c r="M10" s="22">
        <v>1</v>
      </c>
      <c r="N10" s="22">
        <v>23.8</v>
      </c>
      <c r="O10" s="27">
        <v>89.1</v>
      </c>
      <c r="P10" s="22">
        <v>38.5</v>
      </c>
      <c r="Q10" s="22">
        <v>36.8</v>
      </c>
      <c r="R10" s="22">
        <v>136.8</v>
      </c>
      <c r="S10" s="26">
        <v>51</v>
      </c>
      <c r="T10" s="26">
        <v>456.9</v>
      </c>
      <c r="U10" s="26">
        <v>2694</v>
      </c>
      <c r="V10" s="26">
        <v>5470.1</v>
      </c>
      <c r="W10" s="26">
        <v>1854.7</v>
      </c>
      <c r="X10" s="22">
        <v>3.91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16404.01</v>
      </c>
      <c r="AG10" s="27">
        <f>B10+C10-AF10</f>
        <v>24462.99</v>
      </c>
    </row>
    <row r="11" spans="1:33" ht="15.75">
      <c r="A11" s="78" t="s">
        <v>5</v>
      </c>
      <c r="B11" s="26">
        <f>12774.2-0.2</f>
        <v>12774</v>
      </c>
      <c r="C11" s="26">
        <v>25177</v>
      </c>
      <c r="D11" s="22">
        <v>8.4</v>
      </c>
      <c r="E11" s="22">
        <v>81.5</v>
      </c>
      <c r="F11" s="22">
        <v>40.9</v>
      </c>
      <c r="G11" s="22">
        <v>31.5</v>
      </c>
      <c r="H11" s="22"/>
      <c r="I11" s="22">
        <v>108.3</v>
      </c>
      <c r="J11" s="26">
        <v>1542</v>
      </c>
      <c r="K11" s="22">
        <v>2643.1</v>
      </c>
      <c r="L11" s="22">
        <v>767</v>
      </c>
      <c r="M11" s="22">
        <v>1</v>
      </c>
      <c r="N11" s="22"/>
      <c r="O11" s="27">
        <v>87.4</v>
      </c>
      <c r="P11" s="22">
        <v>20.3</v>
      </c>
      <c r="Q11" s="22"/>
      <c r="R11" s="22">
        <v>42.5</v>
      </c>
      <c r="S11" s="26">
        <v>31.7</v>
      </c>
      <c r="T11" s="26">
        <v>336.3</v>
      </c>
      <c r="U11" s="26">
        <v>2638.1</v>
      </c>
      <c r="V11" s="26">
        <v>5444.8</v>
      </c>
      <c r="W11" s="26">
        <v>1848.4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15673.199999999999</v>
      </c>
      <c r="AG11" s="27">
        <f>B11+C11-AF11</f>
        <v>22277.800000000003</v>
      </c>
    </row>
    <row r="12" spans="1:33" ht="15.75">
      <c r="A12" s="78" t="s">
        <v>2</v>
      </c>
      <c r="B12" s="25">
        <f>67.6-265.4</f>
        <v>-197.79999999999998</v>
      </c>
      <c r="C12" s="26">
        <v>488.9</v>
      </c>
      <c r="D12" s="22"/>
      <c r="E12" s="22">
        <v>42.8</v>
      </c>
      <c r="F12" s="22"/>
      <c r="G12" s="22"/>
      <c r="H12" s="22"/>
      <c r="I12" s="22"/>
      <c r="J12" s="26"/>
      <c r="K12" s="22">
        <v>22.3</v>
      </c>
      <c r="L12" s="22"/>
      <c r="M12" s="22"/>
      <c r="N12" s="22"/>
      <c r="O12" s="27"/>
      <c r="P12" s="22"/>
      <c r="Q12" s="22"/>
      <c r="R12" s="22"/>
      <c r="S12" s="26"/>
      <c r="T12" s="26"/>
      <c r="U12" s="26">
        <v>44</v>
      </c>
      <c r="V12" s="26"/>
      <c r="W12" s="26"/>
      <c r="X12" s="22">
        <v>0.7</v>
      </c>
      <c r="Y12" s="26"/>
      <c r="Z12" s="26"/>
      <c r="AA12" s="26"/>
      <c r="AB12" s="22"/>
      <c r="AC12" s="22"/>
      <c r="AD12" s="22"/>
      <c r="AE12" s="22"/>
      <c r="AF12" s="22">
        <f t="shared" si="1"/>
        <v>109.8</v>
      </c>
      <c r="AG12" s="27">
        <f>B12+C12-AF12</f>
        <v>181.3</v>
      </c>
    </row>
    <row r="13" spans="1:33" ht="15.7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78" t="s">
        <v>23</v>
      </c>
      <c r="B14" s="26">
        <f aca="true" t="shared" si="2" ref="B14:AD14">B10-B11-B12</f>
        <v>577.0000000000007</v>
      </c>
      <c r="C14" s="26">
        <f t="shared" si="2"/>
        <v>2047.8999999999992</v>
      </c>
      <c r="D14" s="22">
        <f t="shared" si="2"/>
        <v>0</v>
      </c>
      <c r="E14" s="22">
        <f t="shared" si="2"/>
        <v>88.00000000000001</v>
      </c>
      <c r="F14" s="22">
        <f t="shared" si="2"/>
        <v>29.199999999999996</v>
      </c>
      <c r="G14" s="22">
        <f t="shared" si="2"/>
        <v>5.100000000000001</v>
      </c>
      <c r="H14" s="22">
        <f t="shared" si="2"/>
        <v>7.2</v>
      </c>
      <c r="I14" s="22">
        <f t="shared" si="2"/>
        <v>1.7999999999999972</v>
      </c>
      <c r="J14" s="22">
        <f t="shared" si="2"/>
        <v>0.7999999999999545</v>
      </c>
      <c r="K14" s="22">
        <f t="shared" si="2"/>
        <v>112.79999999999991</v>
      </c>
      <c r="L14" s="22">
        <f t="shared" si="2"/>
        <v>14.700000000000045</v>
      </c>
      <c r="M14" s="22">
        <f t="shared" si="2"/>
        <v>0</v>
      </c>
      <c r="N14" s="22">
        <f t="shared" si="2"/>
        <v>23.8</v>
      </c>
      <c r="O14" s="22">
        <f t="shared" si="2"/>
        <v>1.6999999999999886</v>
      </c>
      <c r="P14" s="22">
        <f t="shared" si="2"/>
        <v>18.2</v>
      </c>
      <c r="Q14" s="22">
        <f t="shared" si="2"/>
        <v>36.8</v>
      </c>
      <c r="R14" s="22">
        <f>R10-R11-R12</f>
        <v>94.30000000000001</v>
      </c>
      <c r="S14" s="22">
        <f t="shared" si="2"/>
        <v>19.3</v>
      </c>
      <c r="T14" s="22">
        <f t="shared" si="2"/>
        <v>120.59999999999997</v>
      </c>
      <c r="U14" s="22">
        <f t="shared" si="2"/>
        <v>11.900000000000091</v>
      </c>
      <c r="V14" s="22">
        <f t="shared" si="2"/>
        <v>25.300000000000182</v>
      </c>
      <c r="W14" s="22">
        <f t="shared" si="2"/>
        <v>6.2999999999999545</v>
      </c>
      <c r="X14" s="22">
        <f t="shared" si="2"/>
        <v>3.21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621.0100000000002</v>
      </c>
      <c r="AG14" s="27">
        <f>AG10-AG11-AG12-AG13</f>
        <v>2003.8899999999987</v>
      </c>
    </row>
    <row r="15" spans="1:33" ht="15" customHeight="1">
      <c r="A15" s="77" t="s">
        <v>6</v>
      </c>
      <c r="B15" s="26">
        <f>29051.9+0.5-20</f>
        <v>29032.4</v>
      </c>
      <c r="C15" s="26">
        <v>30636.8</v>
      </c>
      <c r="D15" s="44"/>
      <c r="E15" s="44">
        <v>117.9</v>
      </c>
      <c r="F15" s="22">
        <v>1001.8</v>
      </c>
      <c r="G15" s="22">
        <v>145.8</v>
      </c>
      <c r="H15" s="22">
        <v>258.5</v>
      </c>
      <c r="I15" s="22">
        <v>281.6</v>
      </c>
      <c r="J15" s="26"/>
      <c r="K15" s="22">
        <v>150.9</v>
      </c>
      <c r="L15" s="22">
        <v>90.4</v>
      </c>
      <c r="M15" s="22">
        <f>6968.6+422</f>
        <v>7390.6</v>
      </c>
      <c r="N15" s="22">
        <v>814.3</v>
      </c>
      <c r="O15" s="27">
        <v>1</v>
      </c>
      <c r="P15" s="22">
        <v>59.3</v>
      </c>
      <c r="Q15" s="27">
        <v>26.3</v>
      </c>
      <c r="R15" s="22">
        <v>939.76</v>
      </c>
      <c r="S15" s="26"/>
      <c r="T15" s="26">
        <f>3969+T16</f>
        <v>4538.1</v>
      </c>
      <c r="U15" s="26">
        <v>733.22</v>
      </c>
      <c r="V15" s="26">
        <v>3537.3</v>
      </c>
      <c r="W15" s="26">
        <v>24.9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20111.68</v>
      </c>
      <c r="AG15" s="27">
        <f aca="true" t="shared" si="3" ref="AG15:AG31">B15+C15-AF15</f>
        <v>39557.52</v>
      </c>
    </row>
    <row r="16" spans="1:34" s="70" customFormat="1" ht="15" customHeight="1">
      <c r="A16" s="79" t="s">
        <v>38</v>
      </c>
      <c r="B16" s="68">
        <f>9733.4+45</f>
        <v>9778.4</v>
      </c>
      <c r="C16" s="68">
        <v>11355.6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422</v>
      </c>
      <c r="N16" s="66"/>
      <c r="O16" s="69"/>
      <c r="P16" s="66">
        <v>40.1</v>
      </c>
      <c r="Q16" s="69"/>
      <c r="R16" s="66"/>
      <c r="S16" s="68"/>
      <c r="T16" s="68">
        <v>569.1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1031.2</v>
      </c>
      <c r="AG16" s="71">
        <f t="shared" si="3"/>
        <v>20102.8</v>
      </c>
      <c r="AH16" s="75"/>
    </row>
    <row r="17" spans="1:34" ht="15.75">
      <c r="A17" s="78" t="s">
        <v>5</v>
      </c>
      <c r="B17" s="26">
        <f>22985.1+230</f>
        <v>23215.1</v>
      </c>
      <c r="C17" s="26">
        <v>19443.9</v>
      </c>
      <c r="D17" s="22"/>
      <c r="E17" s="22"/>
      <c r="F17" s="22">
        <v>989.5</v>
      </c>
      <c r="G17" s="22">
        <v>16.7</v>
      </c>
      <c r="H17" s="22"/>
      <c r="I17" s="22"/>
      <c r="J17" s="26"/>
      <c r="K17" s="22"/>
      <c r="L17" s="22">
        <v>1.8</v>
      </c>
      <c r="M17" s="22">
        <v>7390.6</v>
      </c>
      <c r="N17" s="22"/>
      <c r="O17" s="27"/>
      <c r="P17" s="22"/>
      <c r="Q17" s="27"/>
      <c r="R17" s="22"/>
      <c r="S17" s="26"/>
      <c r="T17" s="26">
        <f>3629.6+T16</f>
        <v>4198.7</v>
      </c>
      <c r="U17" s="26">
        <v>594.8</v>
      </c>
      <c r="V17" s="26">
        <v>3498.7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16690.8</v>
      </c>
      <c r="AG17" s="27">
        <f t="shared" si="3"/>
        <v>25968.2</v>
      </c>
      <c r="AH17" s="6"/>
    </row>
    <row r="18" spans="1:35" ht="15.75">
      <c r="A18" s="78" t="s">
        <v>3</v>
      </c>
      <c r="B18" s="26">
        <v>3.5</v>
      </c>
      <c r="C18" s="26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28.8</v>
      </c>
      <c r="AH18" s="6"/>
      <c r="AI18" s="6"/>
    </row>
    <row r="19" spans="1:33" ht="15.75">
      <c r="A19" s="78" t="s">
        <v>1</v>
      </c>
      <c r="B19" s="26">
        <v>656.5</v>
      </c>
      <c r="C19" s="26">
        <v>421.4</v>
      </c>
      <c r="D19" s="22"/>
      <c r="E19" s="22"/>
      <c r="F19" s="22"/>
      <c r="G19" s="22">
        <v>12.6</v>
      </c>
      <c r="H19" s="22">
        <v>133.2</v>
      </c>
      <c r="I19" s="22">
        <v>9.7</v>
      </c>
      <c r="J19" s="26"/>
      <c r="K19" s="22">
        <v>6.4</v>
      </c>
      <c r="L19" s="22">
        <v>88.6</v>
      </c>
      <c r="M19" s="22"/>
      <c r="N19" s="22">
        <v>28</v>
      </c>
      <c r="O19" s="27"/>
      <c r="P19" s="22">
        <f>6.9</f>
        <v>6.9</v>
      </c>
      <c r="Q19" s="27"/>
      <c r="R19" s="22">
        <v>12.5</v>
      </c>
      <c r="S19" s="26"/>
      <c r="T19" s="26">
        <v>8.5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306.4</v>
      </c>
      <c r="AG19" s="27">
        <f t="shared" si="3"/>
        <v>771.5000000000001</v>
      </c>
    </row>
    <row r="20" spans="1:33" ht="15.75">
      <c r="A20" s="78" t="s">
        <v>2</v>
      </c>
      <c r="B20" s="26">
        <f>2177.1-45.3</f>
        <v>2131.7999999999997</v>
      </c>
      <c r="C20" s="26">
        <v>5943</v>
      </c>
      <c r="D20" s="22"/>
      <c r="E20" s="22"/>
      <c r="F20" s="22">
        <v>12.3</v>
      </c>
      <c r="G20" s="22">
        <v>66</v>
      </c>
      <c r="H20" s="22">
        <v>113.7</v>
      </c>
      <c r="I20" s="22">
        <v>68.2</v>
      </c>
      <c r="J20" s="26"/>
      <c r="K20" s="22">
        <v>112.3</v>
      </c>
      <c r="L20" s="22"/>
      <c r="M20" s="22"/>
      <c r="N20" s="22">
        <v>193.8</v>
      </c>
      <c r="O20" s="27">
        <v>1</v>
      </c>
      <c r="P20" s="22">
        <v>1.6</v>
      </c>
      <c r="Q20" s="27">
        <v>26.3</v>
      </c>
      <c r="R20" s="22">
        <v>331.1</v>
      </c>
      <c r="S20" s="26"/>
      <c r="T20" s="26">
        <v>58.8</v>
      </c>
      <c r="U20" s="26">
        <v>49.7</v>
      </c>
      <c r="V20" s="26">
        <v>11.9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1046.7</v>
      </c>
      <c r="AG20" s="27">
        <f t="shared" si="3"/>
        <v>7028.099999999999</v>
      </c>
    </row>
    <row r="21" spans="1:33" ht="15.75">
      <c r="A21" s="78" t="s">
        <v>16</v>
      </c>
      <c r="B21" s="26">
        <f>946.5-230</f>
        <v>716.5</v>
      </c>
      <c r="C21" s="26">
        <v>556.9</v>
      </c>
      <c r="D21" s="22"/>
      <c r="E21" s="22"/>
      <c r="F21" s="22"/>
      <c r="G21" s="22">
        <v>50.5</v>
      </c>
      <c r="H21" s="22"/>
      <c r="I21" s="22">
        <v>1.3</v>
      </c>
      <c r="J21" s="26"/>
      <c r="K21" s="22">
        <v>9.1</v>
      </c>
      <c r="L21" s="22"/>
      <c r="M21" s="22"/>
      <c r="N21" s="22">
        <v>238.6</v>
      </c>
      <c r="O21" s="27"/>
      <c r="P21" s="22"/>
      <c r="Q21" s="27"/>
      <c r="R21" s="22">
        <v>544</v>
      </c>
      <c r="S21" s="26"/>
      <c r="T21" s="26">
        <v>41.1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884.6</v>
      </c>
      <c r="AG21" s="27">
        <f t="shared" si="3"/>
        <v>388.80000000000007</v>
      </c>
    </row>
    <row r="22" spans="1:33" ht="15.7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78" t="s">
        <v>23</v>
      </c>
      <c r="B23" s="26">
        <f aca="true" t="shared" si="4" ref="B23:AD23">B15-B17-B18-B19-B20-B21-B22</f>
        <v>2309.000000000003</v>
      </c>
      <c r="C23" s="26">
        <f t="shared" si="4"/>
        <v>4246.299999999999</v>
      </c>
      <c r="D23" s="22">
        <f t="shared" si="4"/>
        <v>0</v>
      </c>
      <c r="E23" s="22">
        <f t="shared" si="4"/>
        <v>117.9</v>
      </c>
      <c r="F23" s="22">
        <f t="shared" si="4"/>
        <v>-4.618527782440651E-14</v>
      </c>
      <c r="G23" s="22">
        <f t="shared" si="4"/>
        <v>2.842170943040401E-14</v>
      </c>
      <c r="H23" s="22">
        <f t="shared" si="4"/>
        <v>11.600000000000009</v>
      </c>
      <c r="I23" s="22">
        <f t="shared" si="4"/>
        <v>202.40000000000003</v>
      </c>
      <c r="J23" s="22">
        <f t="shared" si="4"/>
        <v>0</v>
      </c>
      <c r="K23" s="22">
        <f t="shared" si="4"/>
        <v>23.1</v>
      </c>
      <c r="L23" s="22">
        <f t="shared" si="4"/>
        <v>1.4210854715202004E-14</v>
      </c>
      <c r="M23" s="22">
        <f t="shared" si="4"/>
        <v>0</v>
      </c>
      <c r="N23" s="22">
        <f t="shared" si="4"/>
        <v>353.9</v>
      </c>
      <c r="O23" s="22">
        <f t="shared" si="4"/>
        <v>0</v>
      </c>
      <c r="P23" s="22">
        <f t="shared" si="4"/>
        <v>50.8</v>
      </c>
      <c r="Q23" s="22">
        <f t="shared" si="4"/>
        <v>0</v>
      </c>
      <c r="R23" s="22">
        <f t="shared" si="4"/>
        <v>52.15999999999997</v>
      </c>
      <c r="S23" s="22">
        <f t="shared" si="4"/>
        <v>0</v>
      </c>
      <c r="T23" s="22">
        <f t="shared" si="4"/>
        <v>231.00000000000054</v>
      </c>
      <c r="U23" s="22">
        <f t="shared" si="4"/>
        <v>88.72000000000007</v>
      </c>
      <c r="V23" s="22">
        <f t="shared" si="4"/>
        <v>26.700000000000365</v>
      </c>
      <c r="W23" s="22">
        <f t="shared" si="4"/>
        <v>24.9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1183.180000000001</v>
      </c>
      <c r="AG23" s="27">
        <f t="shared" si="3"/>
        <v>5372.120000000002</v>
      </c>
    </row>
    <row r="24" spans="1:36" ht="15" customHeight="1">
      <c r="A24" s="77" t="s">
        <v>7</v>
      </c>
      <c r="B24" s="26">
        <v>33135.2</v>
      </c>
      <c r="C24" s="26">
        <v>14773.5</v>
      </c>
      <c r="D24" s="22"/>
      <c r="E24" s="22"/>
      <c r="F24" s="22"/>
      <c r="G24" s="22"/>
      <c r="H24" s="22"/>
      <c r="I24" s="22">
        <v>1050.3</v>
      </c>
      <c r="J24" s="26"/>
      <c r="K24" s="22">
        <v>11029.8</v>
      </c>
      <c r="L24" s="22"/>
      <c r="M24" s="22">
        <v>885.5</v>
      </c>
      <c r="N24" s="22">
        <v>273.8</v>
      </c>
      <c r="O24" s="27">
        <v>65.5</v>
      </c>
      <c r="P24" s="22"/>
      <c r="Q24" s="27"/>
      <c r="R24" s="27">
        <v>1552.17</v>
      </c>
      <c r="S24" s="26"/>
      <c r="T24" s="26">
        <f>36+T25</f>
        <v>269.1</v>
      </c>
      <c r="U24" s="26">
        <v>8904.6</v>
      </c>
      <c r="V24" s="26">
        <f>5175.7-42.1</f>
        <v>5133.599999999999</v>
      </c>
      <c r="W24" s="26">
        <v>48.5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29212.869999999995</v>
      </c>
      <c r="AG24" s="27">
        <f t="shared" si="3"/>
        <v>18695.83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3558.4</v>
      </c>
      <c r="D25" s="66"/>
      <c r="E25" s="66"/>
      <c r="F25" s="66"/>
      <c r="G25" s="66"/>
      <c r="H25" s="66"/>
      <c r="I25" s="66">
        <v>468.6</v>
      </c>
      <c r="J25" s="68"/>
      <c r="K25" s="66">
        <v>10878.7</v>
      </c>
      <c r="L25" s="66"/>
      <c r="M25" s="66">
        <v>885.5</v>
      </c>
      <c r="N25" s="66">
        <v>1.9</v>
      </c>
      <c r="O25" s="69">
        <v>65.5</v>
      </c>
      <c r="P25" s="66"/>
      <c r="Q25" s="69"/>
      <c r="R25" s="69">
        <v>500.5</v>
      </c>
      <c r="S25" s="68"/>
      <c r="T25" s="68">
        <f>233+0.1</f>
        <v>233.1</v>
      </c>
      <c r="U25" s="68">
        <v>7098.6</v>
      </c>
      <c r="V25" s="68">
        <v>-42.1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20090.300000000003</v>
      </c>
      <c r="AG25" s="71">
        <f t="shared" si="3"/>
        <v>3324.5</v>
      </c>
      <c r="AH25" s="75"/>
    </row>
    <row r="26" spans="1:34" ht="15.7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78" t="s">
        <v>23</v>
      </c>
      <c r="B32" s="26">
        <f aca="true" t="shared" si="5" ref="B32:AD32">B24</f>
        <v>33135.2</v>
      </c>
      <c r="C32" s="26">
        <f t="shared" si="5"/>
        <v>14773.5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1050.3</v>
      </c>
      <c r="J32" s="22">
        <f t="shared" si="5"/>
        <v>0</v>
      </c>
      <c r="K32" s="22">
        <f t="shared" si="5"/>
        <v>11029.8</v>
      </c>
      <c r="L32" s="22">
        <f t="shared" si="5"/>
        <v>0</v>
      </c>
      <c r="M32" s="22">
        <f t="shared" si="5"/>
        <v>885.5</v>
      </c>
      <c r="N32" s="22">
        <f t="shared" si="5"/>
        <v>273.8</v>
      </c>
      <c r="O32" s="22">
        <f t="shared" si="5"/>
        <v>65.5</v>
      </c>
      <c r="P32" s="22">
        <f t="shared" si="5"/>
        <v>0</v>
      </c>
      <c r="Q32" s="22">
        <f t="shared" si="5"/>
        <v>0</v>
      </c>
      <c r="R32" s="22">
        <f>R24</f>
        <v>1552.17</v>
      </c>
      <c r="S32" s="22">
        <f t="shared" si="5"/>
        <v>0</v>
      </c>
      <c r="T32" s="22">
        <f t="shared" si="5"/>
        <v>269.1</v>
      </c>
      <c r="U32" s="22">
        <f t="shared" si="5"/>
        <v>8904.6</v>
      </c>
      <c r="V32" s="22">
        <f t="shared" si="5"/>
        <v>5133.599999999999</v>
      </c>
      <c r="W32" s="22">
        <f t="shared" si="5"/>
        <v>48.5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29212.869999999995</v>
      </c>
      <c r="AG32" s="27">
        <f>AG24</f>
        <v>18695.83</v>
      </c>
    </row>
    <row r="33" spans="1:33" ht="15" customHeight="1">
      <c r="A33" s="77" t="s">
        <v>8</v>
      </c>
      <c r="B33" s="26">
        <v>1247.7</v>
      </c>
      <c r="C33" s="26">
        <v>1705.8</v>
      </c>
      <c r="D33" s="22"/>
      <c r="E33" s="22"/>
      <c r="F33" s="22"/>
      <c r="G33" s="22"/>
      <c r="H33" s="22"/>
      <c r="I33" s="22"/>
      <c r="J33" s="26">
        <v>93.3</v>
      </c>
      <c r="K33" s="22">
        <v>45.9</v>
      </c>
      <c r="L33" s="22">
        <v>65.6</v>
      </c>
      <c r="M33" s="22"/>
      <c r="N33" s="22"/>
      <c r="O33" s="27"/>
      <c r="P33" s="22"/>
      <c r="Q33" s="27">
        <v>272.8</v>
      </c>
      <c r="R33" s="22"/>
      <c r="S33" s="26"/>
      <c r="T33" s="26"/>
      <c r="U33" s="26"/>
      <c r="V33" s="26">
        <v>119.4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597</v>
      </c>
      <c r="AG33" s="27">
        <f aca="true" t="shared" si="6" ref="AG33:AG38">B33+C33-AF33</f>
        <v>2356.5</v>
      </c>
    </row>
    <row r="34" spans="1:33" ht="15.75">
      <c r="A34" s="78" t="s">
        <v>5</v>
      </c>
      <c r="B34" s="26">
        <f>221.2</f>
        <v>221.2</v>
      </c>
      <c r="C34" s="26">
        <v>46.9</v>
      </c>
      <c r="D34" s="22"/>
      <c r="E34" s="22"/>
      <c r="F34" s="22"/>
      <c r="G34" s="22"/>
      <c r="H34" s="22"/>
      <c r="I34" s="22"/>
      <c r="J34" s="26"/>
      <c r="K34" s="22">
        <v>45.9</v>
      </c>
      <c r="L34" s="22">
        <v>64.5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115.7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226.10000000000002</v>
      </c>
      <c r="AG34" s="27">
        <f t="shared" si="6"/>
        <v>41.99999999999994</v>
      </c>
    </row>
    <row r="35" spans="1:33" ht="15.75">
      <c r="A35" s="78" t="s">
        <v>1</v>
      </c>
      <c r="B35" s="26">
        <v>0</v>
      </c>
      <c r="C35" s="26">
        <v>340.4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>
        <v>187.6</v>
      </c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187.6</v>
      </c>
      <c r="AG35" s="27">
        <f t="shared" si="6"/>
        <v>152.79999999999998</v>
      </c>
    </row>
    <row r="36" spans="1:33" ht="15.75">
      <c r="A36" s="78" t="s">
        <v>2</v>
      </c>
      <c r="B36" s="80">
        <v>3.8</v>
      </c>
      <c r="C36" s="26">
        <v>13.6</v>
      </c>
      <c r="D36" s="22"/>
      <c r="E36" s="22"/>
      <c r="F36" s="22"/>
      <c r="G36" s="22"/>
      <c r="H36" s="22"/>
      <c r="I36" s="22"/>
      <c r="J36" s="26">
        <v>1.9</v>
      </c>
      <c r="K36" s="22"/>
      <c r="L36" s="22">
        <v>0.5</v>
      </c>
      <c r="M36" s="22"/>
      <c r="N36" s="22"/>
      <c r="O36" s="27"/>
      <c r="P36" s="22"/>
      <c r="Q36" s="27"/>
      <c r="R36" s="22"/>
      <c r="S36" s="26"/>
      <c r="T36" s="26"/>
      <c r="U36" s="22"/>
      <c r="V36" s="22">
        <v>3.7</v>
      </c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6.1</v>
      </c>
      <c r="AG36" s="27">
        <f t="shared" si="6"/>
        <v>11.299999999999999</v>
      </c>
    </row>
    <row r="37" spans="1:33" ht="15.75">
      <c r="A37" s="78" t="s">
        <v>16</v>
      </c>
      <c r="B37" s="26">
        <v>1000</v>
      </c>
      <c r="C37" s="26">
        <v>1124.5</v>
      </c>
      <c r="D37" s="22"/>
      <c r="E37" s="22"/>
      <c r="F37" s="22"/>
      <c r="G37" s="22"/>
      <c r="H37" s="22"/>
      <c r="I37" s="22"/>
      <c r="J37" s="26">
        <v>89.8</v>
      </c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89.8</v>
      </c>
      <c r="AG37" s="27">
        <f t="shared" si="6"/>
        <v>2034.7</v>
      </c>
    </row>
    <row r="38" spans="1:33" ht="15.7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78" t="s">
        <v>23</v>
      </c>
      <c r="B39" s="26">
        <f aca="true" t="shared" si="7" ref="B39:AD39">B33-B34-B36-B38-B37-B35</f>
        <v>22.700000000000045</v>
      </c>
      <c r="C39" s="26">
        <f t="shared" si="7"/>
        <v>180.39999999999998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1.5999999999999943</v>
      </c>
      <c r="K39" s="22">
        <f t="shared" si="7"/>
        <v>0</v>
      </c>
      <c r="L39" s="22">
        <f t="shared" si="7"/>
        <v>0.5999999999999943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85.20000000000002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2.6645352591003757E-15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87.4</v>
      </c>
      <c r="AG39" s="27">
        <f>AG33-AG34-AG36-AG38-AG35-AG37</f>
        <v>115.69999999999959</v>
      </c>
    </row>
    <row r="40" spans="1:33" ht="15" customHeight="1">
      <c r="A40" s="77" t="s">
        <v>29</v>
      </c>
      <c r="B40" s="26">
        <v>993.2</v>
      </c>
      <c r="C40" s="26">
        <v>170.6</v>
      </c>
      <c r="D40" s="22"/>
      <c r="E40" s="22"/>
      <c r="F40" s="22"/>
      <c r="G40" s="22"/>
      <c r="H40" s="22"/>
      <c r="I40" s="22"/>
      <c r="J40" s="26"/>
      <c r="K40" s="22"/>
      <c r="L40" s="22">
        <v>365.27</v>
      </c>
      <c r="M40" s="22"/>
      <c r="N40" s="22"/>
      <c r="O40" s="27"/>
      <c r="P40" s="22"/>
      <c r="Q40" s="27"/>
      <c r="R40" s="27"/>
      <c r="S40" s="26"/>
      <c r="T40" s="26"/>
      <c r="U40" s="26">
        <v>4.1</v>
      </c>
      <c r="V40" s="26">
        <v>585.4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954.77</v>
      </c>
      <c r="AG40" s="27">
        <f aca="true" t="shared" si="8" ref="AG40:AG45">B40+C40-AF40</f>
        <v>209.02999999999997</v>
      </c>
    </row>
    <row r="41" spans="1:34" ht="15.75">
      <c r="A41" s="78" t="s">
        <v>5</v>
      </c>
      <c r="B41" s="26">
        <v>952.1</v>
      </c>
      <c r="C41" s="26">
        <v>42.7</v>
      </c>
      <c r="D41" s="22"/>
      <c r="E41" s="22"/>
      <c r="F41" s="22"/>
      <c r="G41" s="22"/>
      <c r="H41" s="22"/>
      <c r="I41" s="22"/>
      <c r="J41" s="26"/>
      <c r="K41" s="22"/>
      <c r="L41" s="22">
        <v>334.8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585.4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920.2</v>
      </c>
      <c r="AG41" s="27">
        <f t="shared" si="8"/>
        <v>74.60000000000002</v>
      </c>
      <c r="AH41" s="6"/>
    </row>
    <row r="42" spans="1:33" ht="15.75">
      <c r="A42" s="78" t="s">
        <v>3</v>
      </c>
      <c r="B42" s="26">
        <v>0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78" t="s">
        <v>1</v>
      </c>
      <c r="B43" s="26">
        <v>8</v>
      </c>
      <c r="C43" s="26">
        <v>9.7</v>
      </c>
      <c r="D43" s="22"/>
      <c r="E43" s="22"/>
      <c r="F43" s="22"/>
      <c r="G43" s="22"/>
      <c r="H43" s="22"/>
      <c r="I43" s="22"/>
      <c r="J43" s="26"/>
      <c r="K43" s="22"/>
      <c r="L43" s="22">
        <v>6.6</v>
      </c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11.1</v>
      </c>
    </row>
    <row r="44" spans="1:33" ht="15.75">
      <c r="A44" s="78" t="s">
        <v>2</v>
      </c>
      <c r="B44" s="26">
        <v>5.4</v>
      </c>
      <c r="C44" s="26">
        <v>108</v>
      </c>
      <c r="D44" s="22"/>
      <c r="E44" s="22"/>
      <c r="F44" s="22"/>
      <c r="G44" s="22"/>
      <c r="H44" s="22"/>
      <c r="I44" s="22"/>
      <c r="J44" s="26"/>
      <c r="K44" s="22"/>
      <c r="L44" s="22">
        <v>5.4</v>
      </c>
      <c r="M44" s="22"/>
      <c r="N44" s="22"/>
      <c r="O44" s="27"/>
      <c r="P44" s="22"/>
      <c r="Q44" s="22"/>
      <c r="R44" s="22"/>
      <c r="S44" s="26"/>
      <c r="T44" s="26"/>
      <c r="U44" s="26">
        <v>3.6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9</v>
      </c>
      <c r="AG44" s="27">
        <f t="shared" si="8"/>
        <v>104.4</v>
      </c>
    </row>
    <row r="45" spans="1:33" ht="15.7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78" t="s">
        <v>23</v>
      </c>
      <c r="B46" s="26">
        <f aca="true" t="shared" si="10" ref="B46:AD46">B40-B41-B42-B43-B44-B45</f>
        <v>27.700000000000024</v>
      </c>
      <c r="C46" s="26">
        <f t="shared" si="10"/>
        <v>10.199999999999989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18.46999999999997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0.49999999999999956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18.96999999999997</v>
      </c>
      <c r="AG46" s="27">
        <f>AG40-AG41-AG42-AG43-AG44-AG45</f>
        <v>18.92999999999995</v>
      </c>
    </row>
    <row r="47" spans="1:33" ht="17.25" customHeight="1">
      <c r="A47" s="77" t="s">
        <v>43</v>
      </c>
      <c r="B47" s="25">
        <f>804.1+8.7+13.1</f>
        <v>825.9000000000001</v>
      </c>
      <c r="C47" s="26">
        <v>1599.6</v>
      </c>
      <c r="D47" s="22"/>
      <c r="E47" s="28">
        <v>19.5</v>
      </c>
      <c r="F47" s="28">
        <v>17.6</v>
      </c>
      <c r="G47" s="28">
        <v>15.7</v>
      </c>
      <c r="H47" s="28">
        <v>140.2</v>
      </c>
      <c r="I47" s="28">
        <v>40.1</v>
      </c>
      <c r="J47" s="29">
        <v>12.6</v>
      </c>
      <c r="K47" s="28">
        <v>18.3</v>
      </c>
      <c r="L47" s="28">
        <v>29.7</v>
      </c>
      <c r="M47" s="28"/>
      <c r="N47" s="28">
        <v>8</v>
      </c>
      <c r="O47" s="31">
        <v>7</v>
      </c>
      <c r="P47" s="28">
        <v>16.7</v>
      </c>
      <c r="Q47" s="28">
        <v>18.1</v>
      </c>
      <c r="R47" s="28"/>
      <c r="S47" s="29">
        <v>20.7</v>
      </c>
      <c r="T47" s="29">
        <v>112.4</v>
      </c>
      <c r="U47" s="28"/>
      <c r="V47" s="28">
        <v>22.4</v>
      </c>
      <c r="W47" s="28">
        <v>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501.4</v>
      </c>
      <c r="AG47" s="27">
        <f>B47+C47-AF47</f>
        <v>1924.1</v>
      </c>
    </row>
    <row r="48" spans="1:33" ht="15.75">
      <c r="A48" s="78" t="s">
        <v>5</v>
      </c>
      <c r="B48" s="26">
        <v>0</v>
      </c>
      <c r="C48" s="26">
        <v>41</v>
      </c>
      <c r="D48" s="22"/>
      <c r="E48" s="28"/>
      <c r="F48" s="28"/>
      <c r="G48" s="28"/>
      <c r="H48" s="28"/>
      <c r="I48" s="28"/>
      <c r="J48" s="29"/>
      <c r="K48" s="28">
        <v>18.3</v>
      </c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2.4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20.7</v>
      </c>
      <c r="AG48" s="27">
        <f>B48+C48-AF48</f>
        <v>20.3</v>
      </c>
    </row>
    <row r="49" spans="1:33" ht="15.75">
      <c r="A49" s="78" t="s">
        <v>16</v>
      </c>
      <c r="B49" s="26">
        <f>631.4+8.7+13-20</f>
        <v>633.1</v>
      </c>
      <c r="C49" s="26">
        <v>1233.4</v>
      </c>
      <c r="D49" s="22"/>
      <c r="E49" s="22"/>
      <c r="F49" s="22"/>
      <c r="G49" s="22">
        <v>15.7</v>
      </c>
      <c r="H49" s="22">
        <v>140</v>
      </c>
      <c r="I49" s="22">
        <v>40.1</v>
      </c>
      <c r="J49" s="26">
        <v>6</v>
      </c>
      <c r="K49" s="22"/>
      <c r="L49" s="22">
        <v>29.7</v>
      </c>
      <c r="M49" s="22"/>
      <c r="N49" s="22">
        <v>8</v>
      </c>
      <c r="O49" s="27">
        <v>7</v>
      </c>
      <c r="P49" s="22">
        <v>16.7</v>
      </c>
      <c r="Q49" s="22"/>
      <c r="R49" s="22"/>
      <c r="S49" s="26">
        <v>20.7</v>
      </c>
      <c r="T49" s="26">
        <v>40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323.9</v>
      </c>
      <c r="AG49" s="27">
        <f>B49+C49-AF49</f>
        <v>1542.6</v>
      </c>
    </row>
    <row r="50" spans="1:33" ht="30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82" t="s">
        <v>23</v>
      </c>
      <c r="B51" s="26">
        <f aca="true" t="shared" si="11" ref="B51:AD51">B47-B48-B49</f>
        <v>192.80000000000007</v>
      </c>
      <c r="C51" s="26">
        <f t="shared" si="11"/>
        <v>325.1999999999998</v>
      </c>
      <c r="D51" s="22">
        <f t="shared" si="11"/>
        <v>0</v>
      </c>
      <c r="E51" s="22">
        <f t="shared" si="11"/>
        <v>19.5</v>
      </c>
      <c r="F51" s="22">
        <f t="shared" si="11"/>
        <v>17.6</v>
      </c>
      <c r="G51" s="22">
        <f t="shared" si="11"/>
        <v>0</v>
      </c>
      <c r="H51" s="22">
        <f t="shared" si="11"/>
        <v>0.19999999999998863</v>
      </c>
      <c r="I51" s="22">
        <f t="shared" si="11"/>
        <v>0</v>
      </c>
      <c r="J51" s="22">
        <f t="shared" si="11"/>
        <v>6.6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18.1</v>
      </c>
      <c r="R51" s="22">
        <f t="shared" si="11"/>
        <v>0</v>
      </c>
      <c r="S51" s="22">
        <f t="shared" si="11"/>
        <v>0</v>
      </c>
      <c r="T51" s="22">
        <f t="shared" si="11"/>
        <v>72.4</v>
      </c>
      <c r="U51" s="22">
        <f t="shared" si="11"/>
        <v>0</v>
      </c>
      <c r="V51" s="22">
        <f t="shared" si="11"/>
        <v>22.4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156.8</v>
      </c>
      <c r="AG51" s="27">
        <f>AG47-AG49-AG48</f>
        <v>361.2</v>
      </c>
    </row>
    <row r="52" spans="1:33" ht="15" customHeight="1">
      <c r="A52" s="77" t="s">
        <v>0</v>
      </c>
      <c r="B52" s="26">
        <f>5645.4+165-200+149.8-50+0.1</f>
        <v>5710.3</v>
      </c>
      <c r="C52" s="26">
        <v>2150.2</v>
      </c>
      <c r="D52" s="22"/>
      <c r="E52" s="22">
        <v>799.4</v>
      </c>
      <c r="F52" s="22"/>
      <c r="G52" s="22">
        <v>672.8</v>
      </c>
      <c r="H52" s="22">
        <v>360.8</v>
      </c>
      <c r="I52" s="22"/>
      <c r="J52" s="26"/>
      <c r="K52" s="22">
        <v>1359.4</v>
      </c>
      <c r="L52" s="22">
        <v>303.46</v>
      </c>
      <c r="M52" s="22"/>
      <c r="N52" s="22">
        <v>352.2</v>
      </c>
      <c r="O52" s="27">
        <v>367.33</v>
      </c>
      <c r="P52" s="22"/>
      <c r="Q52" s="22">
        <v>80.1</v>
      </c>
      <c r="R52" s="22">
        <v>890.06</v>
      </c>
      <c r="S52" s="26">
        <v>776.3</v>
      </c>
      <c r="T52" s="26"/>
      <c r="U52" s="26"/>
      <c r="V52" s="26">
        <v>602.7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6564.549999999999</v>
      </c>
      <c r="AG52" s="27">
        <f aca="true" t="shared" si="12" ref="AG52:AG59">B52+C52-AF52</f>
        <v>1295.9500000000007</v>
      </c>
    </row>
    <row r="53" spans="1:33" ht="15" customHeight="1">
      <c r="A53" s="78" t="s">
        <v>2</v>
      </c>
      <c r="B53" s="26">
        <v>748.8</v>
      </c>
      <c r="C53" s="26">
        <v>125.3</v>
      </c>
      <c r="D53" s="22"/>
      <c r="E53" s="22">
        <v>71.9</v>
      </c>
      <c r="F53" s="22"/>
      <c r="G53" s="22"/>
      <c r="H53" s="22"/>
      <c r="I53" s="22"/>
      <c r="J53" s="26"/>
      <c r="K53" s="22">
        <v>17.8</v>
      </c>
      <c r="L53" s="22">
        <v>130.4</v>
      </c>
      <c r="M53" s="22"/>
      <c r="N53" s="22"/>
      <c r="O53" s="27"/>
      <c r="P53" s="22"/>
      <c r="Q53" s="22"/>
      <c r="R53" s="22"/>
      <c r="S53" s="26">
        <v>525.1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745.2</v>
      </c>
      <c r="AG53" s="27">
        <f t="shared" si="12"/>
        <v>128.89999999999986</v>
      </c>
    </row>
    <row r="54" spans="1:34" ht="15.75">
      <c r="A54" s="77" t="s">
        <v>9</v>
      </c>
      <c r="B54" s="80">
        <f>2543.1-58.9</f>
        <v>2484.2</v>
      </c>
      <c r="C54" s="26">
        <v>1880.5</v>
      </c>
      <c r="D54" s="22"/>
      <c r="E54" s="22">
        <v>10.7</v>
      </c>
      <c r="F54" s="22">
        <v>53.7</v>
      </c>
      <c r="G54" s="22">
        <v>252.7</v>
      </c>
      <c r="H54" s="22">
        <v>15.7</v>
      </c>
      <c r="I54" s="22">
        <v>4.7</v>
      </c>
      <c r="J54" s="26">
        <v>27.4</v>
      </c>
      <c r="K54" s="22">
        <v>741.9</v>
      </c>
      <c r="L54" s="22">
        <v>54.87</v>
      </c>
      <c r="M54" s="22"/>
      <c r="N54" s="22">
        <v>4.8</v>
      </c>
      <c r="O54" s="27"/>
      <c r="P54" s="22">
        <v>161.7</v>
      </c>
      <c r="Q54" s="27">
        <v>55.2</v>
      </c>
      <c r="R54" s="22">
        <v>44.27</v>
      </c>
      <c r="S54" s="26"/>
      <c r="T54" s="26">
        <v>16</v>
      </c>
      <c r="U54" s="26"/>
      <c r="V54" s="26">
        <v>761.6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2205.24</v>
      </c>
      <c r="AG54" s="22">
        <f t="shared" si="12"/>
        <v>2159.46</v>
      </c>
      <c r="AH54" s="6"/>
    </row>
    <row r="55" spans="1:34" ht="15.75">
      <c r="A55" s="78" t="s">
        <v>5</v>
      </c>
      <c r="B55" s="26">
        <v>2001.9</v>
      </c>
      <c r="C55" s="26">
        <v>1003.5</v>
      </c>
      <c r="D55" s="22"/>
      <c r="E55" s="22"/>
      <c r="F55" s="22">
        <v>53.7</v>
      </c>
      <c r="G55" s="22">
        <v>142.8</v>
      </c>
      <c r="H55" s="22"/>
      <c r="I55" s="22"/>
      <c r="J55" s="26"/>
      <c r="K55" s="22">
        <v>686.6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>
        <v>728.3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1611.4</v>
      </c>
      <c r="AG55" s="22">
        <f t="shared" si="12"/>
        <v>1394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78" t="s">
        <v>2</v>
      </c>
      <c r="B57" s="25">
        <f>30-1.4</f>
        <v>28.6</v>
      </c>
      <c r="C57" s="26">
        <v>93.5</v>
      </c>
      <c r="D57" s="22"/>
      <c r="E57" s="22"/>
      <c r="F57" s="22"/>
      <c r="G57" s="22"/>
      <c r="H57" s="22">
        <v>1.8</v>
      </c>
      <c r="I57" s="22"/>
      <c r="J57" s="26"/>
      <c r="K57" s="22">
        <v>9.7</v>
      </c>
      <c r="L57" s="22">
        <v>0.1</v>
      </c>
      <c r="M57" s="22"/>
      <c r="N57" s="22"/>
      <c r="O57" s="27"/>
      <c r="P57" s="22"/>
      <c r="Q57" s="27"/>
      <c r="R57" s="22">
        <v>1</v>
      </c>
      <c r="S57" s="26"/>
      <c r="T57" s="26"/>
      <c r="U57" s="26"/>
      <c r="V57" s="26">
        <v>17.2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29.799999999999997</v>
      </c>
      <c r="AG57" s="22">
        <f t="shared" si="12"/>
        <v>92.3</v>
      </c>
    </row>
    <row r="58" spans="1:33" ht="15.7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78" t="s">
        <v>23</v>
      </c>
      <c r="B60" s="26">
        <f aca="true" t="shared" si="13" ref="B60:AD60">B54-B55-B57-B59-B56-B58</f>
        <v>453.6999999999997</v>
      </c>
      <c r="C60" s="26">
        <f t="shared" si="13"/>
        <v>783.5</v>
      </c>
      <c r="D60" s="22">
        <f t="shared" si="13"/>
        <v>0</v>
      </c>
      <c r="E60" s="22">
        <f t="shared" si="13"/>
        <v>10.7</v>
      </c>
      <c r="F60" s="22">
        <f t="shared" si="13"/>
        <v>0</v>
      </c>
      <c r="G60" s="22">
        <f t="shared" si="13"/>
        <v>109.89999999999998</v>
      </c>
      <c r="H60" s="22">
        <f t="shared" si="13"/>
        <v>13.899999999999999</v>
      </c>
      <c r="I60" s="22">
        <f t="shared" si="13"/>
        <v>4.7</v>
      </c>
      <c r="J60" s="22">
        <f t="shared" si="13"/>
        <v>27.4</v>
      </c>
      <c r="K60" s="22">
        <f t="shared" si="13"/>
        <v>45.59999999999995</v>
      </c>
      <c r="L60" s="22">
        <f t="shared" si="13"/>
        <v>54.769999999999996</v>
      </c>
      <c r="M60" s="22">
        <f t="shared" si="13"/>
        <v>0</v>
      </c>
      <c r="N60" s="22">
        <f t="shared" si="13"/>
        <v>4.8</v>
      </c>
      <c r="O60" s="22">
        <f t="shared" si="13"/>
        <v>0</v>
      </c>
      <c r="P60" s="22">
        <f t="shared" si="13"/>
        <v>161.7</v>
      </c>
      <c r="Q60" s="22">
        <f t="shared" si="13"/>
        <v>55.2</v>
      </c>
      <c r="R60" s="22">
        <f t="shared" si="13"/>
        <v>43.27</v>
      </c>
      <c r="S60" s="22">
        <f t="shared" si="13"/>
        <v>0</v>
      </c>
      <c r="T60" s="22">
        <f t="shared" si="13"/>
        <v>16</v>
      </c>
      <c r="U60" s="22">
        <f t="shared" si="13"/>
        <v>0</v>
      </c>
      <c r="V60" s="22">
        <f t="shared" si="13"/>
        <v>16.10000000000007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564.0399999999997</v>
      </c>
      <c r="AG60" s="22">
        <f>AG54-AG55-AG57-AG59-AG56-AG58</f>
        <v>673.1600000000001</v>
      </c>
    </row>
    <row r="61" spans="1:33" ht="15" customHeight="1">
      <c r="A61" s="77" t="s">
        <v>10</v>
      </c>
      <c r="B61" s="26">
        <v>464.3</v>
      </c>
      <c r="C61" s="26">
        <v>256.9</v>
      </c>
      <c r="D61" s="22"/>
      <c r="E61" s="22">
        <v>3.2</v>
      </c>
      <c r="F61" s="22">
        <v>4.7</v>
      </c>
      <c r="G61" s="22">
        <v>2.4</v>
      </c>
      <c r="H61" s="22"/>
      <c r="I61" s="22">
        <v>51.9</v>
      </c>
      <c r="J61" s="26"/>
      <c r="K61" s="22"/>
      <c r="L61" s="22"/>
      <c r="M61" s="22"/>
      <c r="N61" s="22">
        <v>11</v>
      </c>
      <c r="O61" s="27"/>
      <c r="P61" s="22"/>
      <c r="Q61" s="27"/>
      <c r="R61" s="22"/>
      <c r="S61" s="26"/>
      <c r="T61" s="26">
        <v>53.3</v>
      </c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126.5</v>
      </c>
      <c r="AG61" s="22">
        <f aca="true" t="shared" si="15" ref="AG61:AG67">B61+C61-AF61</f>
        <v>594.7</v>
      </c>
    </row>
    <row r="62" spans="1:33" ht="15" customHeight="1">
      <c r="A62" s="77" t="s">
        <v>11</v>
      </c>
      <c r="B62" s="26">
        <f>1330.4+18.9</f>
        <v>1349.3000000000002</v>
      </c>
      <c r="C62" s="26">
        <v>1126.7</v>
      </c>
      <c r="D62" s="22"/>
      <c r="E62" s="22"/>
      <c r="F62" s="22"/>
      <c r="G62" s="22"/>
      <c r="H62" s="22"/>
      <c r="I62" s="22"/>
      <c r="J62" s="26">
        <v>145.8</v>
      </c>
      <c r="K62" s="22">
        <v>533.5</v>
      </c>
      <c r="L62" s="22"/>
      <c r="M62" s="22"/>
      <c r="N62" s="22"/>
      <c r="O62" s="27"/>
      <c r="P62" s="22"/>
      <c r="Q62" s="27">
        <v>26.7</v>
      </c>
      <c r="R62" s="22"/>
      <c r="S62" s="26"/>
      <c r="T62" s="26">
        <v>0.4</v>
      </c>
      <c r="U62" s="26">
        <v>158.2</v>
      </c>
      <c r="V62" s="26">
        <v>763.9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1628.5</v>
      </c>
      <c r="AG62" s="22">
        <f t="shared" si="15"/>
        <v>847.5</v>
      </c>
    </row>
    <row r="63" spans="1:34" ht="15.75">
      <c r="A63" s="78" t="s">
        <v>5</v>
      </c>
      <c r="B63" s="26">
        <f>988.1-60.1</f>
        <v>928</v>
      </c>
      <c r="C63" s="26">
        <v>585.8</v>
      </c>
      <c r="D63" s="22"/>
      <c r="E63" s="22"/>
      <c r="F63" s="22"/>
      <c r="G63" s="22"/>
      <c r="H63" s="22"/>
      <c r="I63" s="22"/>
      <c r="J63" s="26"/>
      <c r="K63" s="22">
        <v>386.5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33.7</v>
      </c>
      <c r="V63" s="26">
        <v>705.7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1125.9</v>
      </c>
      <c r="AG63" s="22">
        <f t="shared" si="15"/>
        <v>387.89999999999986</v>
      </c>
      <c r="AH63" s="64"/>
    </row>
    <row r="64" spans="1:34" ht="15.75" hidden="1">
      <c r="A64" s="78" t="s">
        <v>3</v>
      </c>
      <c r="B64" s="26"/>
      <c r="C64" s="26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78" t="s">
        <v>1</v>
      </c>
      <c r="B65" s="26">
        <v>51.4</v>
      </c>
      <c r="C65" s="26">
        <v>93.8</v>
      </c>
      <c r="D65" s="22"/>
      <c r="E65" s="22"/>
      <c r="F65" s="22"/>
      <c r="G65" s="22"/>
      <c r="H65" s="22"/>
      <c r="I65" s="22"/>
      <c r="J65" s="26">
        <v>8.1</v>
      </c>
      <c r="K65" s="22"/>
      <c r="L65" s="22"/>
      <c r="M65" s="22"/>
      <c r="N65" s="22"/>
      <c r="O65" s="27"/>
      <c r="P65" s="22"/>
      <c r="Q65" s="27">
        <v>6.9</v>
      </c>
      <c r="R65" s="22"/>
      <c r="S65" s="26"/>
      <c r="T65" s="26"/>
      <c r="U65" s="26"/>
      <c r="V65" s="26">
        <v>10.9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25.9</v>
      </c>
      <c r="AG65" s="22">
        <f t="shared" si="15"/>
        <v>119.29999999999998</v>
      </c>
      <c r="AH65" s="6"/>
    </row>
    <row r="66" spans="1:33" ht="15.75">
      <c r="A66" s="78" t="s">
        <v>2</v>
      </c>
      <c r="B66" s="26">
        <v>13.5</v>
      </c>
      <c r="C66" s="26">
        <v>70.9</v>
      </c>
      <c r="D66" s="22"/>
      <c r="E66" s="22"/>
      <c r="F66" s="22"/>
      <c r="G66" s="22"/>
      <c r="H66" s="22"/>
      <c r="I66" s="22"/>
      <c r="J66" s="26">
        <v>1.3</v>
      </c>
      <c r="K66" s="22"/>
      <c r="L66" s="22"/>
      <c r="M66" s="22"/>
      <c r="N66" s="22"/>
      <c r="O66" s="27"/>
      <c r="P66" s="22"/>
      <c r="Q66" s="22">
        <v>1.4</v>
      </c>
      <c r="R66" s="22"/>
      <c r="S66" s="26"/>
      <c r="T66" s="26"/>
      <c r="U66" s="26"/>
      <c r="V66" s="26">
        <v>2.1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4.800000000000001</v>
      </c>
      <c r="AG66" s="22">
        <f t="shared" si="15"/>
        <v>79.60000000000001</v>
      </c>
    </row>
    <row r="67" spans="1:33" ht="15.75">
      <c r="A67" s="78" t="s">
        <v>16</v>
      </c>
      <c r="B67" s="26">
        <v>43.2</v>
      </c>
      <c r="C67" s="26">
        <v>3.3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>
        <v>40</v>
      </c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6.5</v>
      </c>
    </row>
    <row r="68" spans="1:33" ht="15.75">
      <c r="A68" s="78" t="s">
        <v>23</v>
      </c>
      <c r="B68" s="26">
        <f aca="true" t="shared" si="16" ref="B68:AD68">B62-B63-B66-B67-B65-B64</f>
        <v>313.2000000000002</v>
      </c>
      <c r="C68" s="26">
        <f t="shared" si="16"/>
        <v>372.9000000000001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136.4</v>
      </c>
      <c r="K68" s="22">
        <f t="shared" si="16"/>
        <v>147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18.4</v>
      </c>
      <c r="R68" s="22">
        <f t="shared" si="16"/>
        <v>0</v>
      </c>
      <c r="S68" s="22">
        <f t="shared" si="16"/>
        <v>0</v>
      </c>
      <c r="T68" s="22">
        <f t="shared" si="16"/>
        <v>0.4</v>
      </c>
      <c r="U68" s="22">
        <f t="shared" si="16"/>
        <v>124.49999999999999</v>
      </c>
      <c r="V68" s="22">
        <f t="shared" si="16"/>
        <v>5.19999999999993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431.89999999999986</v>
      </c>
      <c r="AG68" s="22">
        <f>AG62-AG63-AG66-AG67-AG65-AG64</f>
        <v>254.20000000000013</v>
      </c>
    </row>
    <row r="69" spans="1:33" ht="31.5">
      <c r="A69" s="77" t="s">
        <v>46</v>
      </c>
      <c r="B69" s="26">
        <f>3109.6-200+200</f>
        <v>3109.6</v>
      </c>
      <c r="C69" s="26">
        <v>223.5</v>
      </c>
      <c r="D69" s="22"/>
      <c r="E69" s="22"/>
      <c r="F69" s="22"/>
      <c r="G69" s="22">
        <v>1902.6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>
        <v>1343</v>
      </c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3245.6</v>
      </c>
      <c r="AG69" s="30">
        <f aca="true" t="shared" si="17" ref="AG69:AG92">B69+C69-AF69</f>
        <v>87.5</v>
      </c>
    </row>
    <row r="70" spans="1:33" ht="15.7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77" t="s">
        <v>47</v>
      </c>
      <c r="B71" s="26">
        <f>824.9+34.9+1.1</f>
        <v>860.9</v>
      </c>
      <c r="C71" s="29">
        <v>508.8</v>
      </c>
      <c r="D71" s="28"/>
      <c r="E71" s="28">
        <v>748.2</v>
      </c>
      <c r="F71" s="28"/>
      <c r="G71" s="28"/>
      <c r="H71" s="28"/>
      <c r="I71" s="28"/>
      <c r="J71" s="29"/>
      <c r="K71" s="28"/>
      <c r="L71" s="28">
        <v>470.6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1218.8000000000002</v>
      </c>
      <c r="AG71" s="30">
        <f t="shared" si="17"/>
        <v>150.89999999999986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970.1-19.5-13.5</f>
        <v>937.1</v>
      </c>
      <c r="C72" s="22">
        <v>3928.6</v>
      </c>
      <c r="D72" s="22"/>
      <c r="E72" s="22">
        <f>0.5+131</f>
        <v>131.5</v>
      </c>
      <c r="F72" s="22"/>
      <c r="G72" s="22">
        <f>0.1+8.9+0.3</f>
        <v>9.3</v>
      </c>
      <c r="H72" s="22"/>
      <c r="I72" s="22">
        <v>26.7</v>
      </c>
      <c r="J72" s="26">
        <v>0.84</v>
      </c>
      <c r="K72" s="22">
        <v>24.6</v>
      </c>
      <c r="L72" s="22">
        <v>81.65</v>
      </c>
      <c r="M72" s="22"/>
      <c r="N72" s="22">
        <v>32.2</v>
      </c>
      <c r="O72" s="22"/>
      <c r="P72" s="22">
        <v>1.6</v>
      </c>
      <c r="Q72" s="27"/>
      <c r="R72" s="22">
        <v>2.9</v>
      </c>
      <c r="S72" s="26"/>
      <c r="T72" s="26">
        <f>2.1+14.2</f>
        <v>16.3</v>
      </c>
      <c r="U72" s="26">
        <v>8.7</v>
      </c>
      <c r="V72" s="26">
        <v>203.7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539.99</v>
      </c>
      <c r="AG72" s="30">
        <f t="shared" si="17"/>
        <v>4325.71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100.6</v>
      </c>
      <c r="C74" s="22">
        <v>956.3</v>
      </c>
      <c r="D74" s="22"/>
      <c r="E74" s="22">
        <v>33.2</v>
      </c>
      <c r="F74" s="22"/>
      <c r="G74" s="22"/>
      <c r="H74" s="22"/>
      <c r="I74" s="22"/>
      <c r="J74" s="26"/>
      <c r="K74" s="22">
        <v>16.2</v>
      </c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49.400000000000006</v>
      </c>
      <c r="AG74" s="30">
        <f t="shared" si="17"/>
        <v>1007.4999999999999</v>
      </c>
    </row>
    <row r="75" spans="1:33" ht="15" customHeight="1">
      <c r="A75" s="3" t="s">
        <v>16</v>
      </c>
      <c r="B75" s="22">
        <v>56.8</v>
      </c>
      <c r="C75" s="22">
        <v>290.6</v>
      </c>
      <c r="D75" s="22"/>
      <c r="E75" s="22"/>
      <c r="F75" s="22"/>
      <c r="G75" s="22"/>
      <c r="H75" s="22"/>
      <c r="I75" s="22"/>
      <c r="J75" s="26"/>
      <c r="K75" s="22"/>
      <c r="L75" s="22">
        <v>56.8</v>
      </c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63.199999999999996</v>
      </c>
      <c r="AG75" s="30">
        <f t="shared" si="17"/>
        <v>284.20000000000005</v>
      </c>
    </row>
    <row r="76" spans="1:33" s="11" customFormat="1" ht="15.75">
      <c r="A76" s="12" t="s">
        <v>49</v>
      </c>
      <c r="B76" s="22">
        <v>170.3</v>
      </c>
      <c r="C76" s="22">
        <v>168.3</v>
      </c>
      <c r="D76" s="22"/>
      <c r="E76" s="28">
        <v>11</v>
      </c>
      <c r="F76" s="28"/>
      <c r="G76" s="28"/>
      <c r="H76" s="28"/>
      <c r="I76" s="28"/>
      <c r="J76" s="29"/>
      <c r="K76" s="28">
        <v>95.1</v>
      </c>
      <c r="L76" s="28"/>
      <c r="M76" s="28"/>
      <c r="N76" s="28">
        <v>30.6</v>
      </c>
      <c r="O76" s="28"/>
      <c r="P76" s="28"/>
      <c r="Q76" s="31">
        <v>0.2</v>
      </c>
      <c r="R76" s="28"/>
      <c r="S76" s="29"/>
      <c r="T76" s="29">
        <v>73.5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210.39999999999998</v>
      </c>
      <c r="AG76" s="30">
        <f t="shared" si="17"/>
        <v>128.20000000000005</v>
      </c>
    </row>
    <row r="77" spans="1:33" s="11" customFormat="1" ht="15.75">
      <c r="A77" s="3" t="s">
        <v>5</v>
      </c>
      <c r="B77" s="22">
        <v>120.5</v>
      </c>
      <c r="C77" s="22">
        <v>0.8</v>
      </c>
      <c r="D77" s="22"/>
      <c r="E77" s="28"/>
      <c r="F77" s="28"/>
      <c r="G77" s="28"/>
      <c r="H77" s="28"/>
      <c r="I77" s="28"/>
      <c r="J77" s="29"/>
      <c r="K77" s="28">
        <v>45.8</v>
      </c>
      <c r="L77" s="28"/>
      <c r="M77" s="28"/>
      <c r="N77" s="28"/>
      <c r="O77" s="28"/>
      <c r="P77" s="28"/>
      <c r="Q77" s="31"/>
      <c r="R77" s="28"/>
      <c r="S77" s="29"/>
      <c r="T77" s="29">
        <v>73.5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119.3</v>
      </c>
      <c r="AG77" s="30">
        <f t="shared" si="17"/>
        <v>2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0.2</v>
      </c>
      <c r="C80" s="22">
        <v>6.1</v>
      </c>
      <c r="D80" s="22"/>
      <c r="E80" s="28"/>
      <c r="F80" s="28"/>
      <c r="G80" s="28"/>
      <c r="H80" s="28"/>
      <c r="I80" s="28"/>
      <c r="J80" s="29"/>
      <c r="K80" s="28">
        <v>0.3</v>
      </c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</v>
      </c>
    </row>
    <row r="81" spans="1:35" s="11" customFormat="1" ht="15.7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/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64</v>
      </c>
      <c r="B83" s="28">
        <f>229.4+200</f>
        <v>429.4</v>
      </c>
      <c r="C83" s="28">
        <v>923.1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v>200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200</v>
      </c>
      <c r="AG83" s="22">
        <f t="shared" si="17"/>
        <v>1152.5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77" t="s">
        <v>51</v>
      </c>
      <c r="B89" s="26">
        <f>2663+100.1</f>
        <v>2763.1</v>
      </c>
      <c r="C89" s="26">
        <v>1091.2</v>
      </c>
      <c r="D89" s="22"/>
      <c r="E89" s="22">
        <v>245.3</v>
      </c>
      <c r="F89" s="22"/>
      <c r="G89" s="22">
        <v>67.1</v>
      </c>
      <c r="H89" s="22">
        <v>500</v>
      </c>
      <c r="I89" s="22">
        <v>24.1</v>
      </c>
      <c r="J89" s="22"/>
      <c r="K89" s="22">
        <v>26.4</v>
      </c>
      <c r="L89" s="22"/>
      <c r="M89" s="22"/>
      <c r="N89" s="22"/>
      <c r="O89" s="22"/>
      <c r="P89" s="22">
        <v>244.7</v>
      </c>
      <c r="Q89" s="22"/>
      <c r="R89" s="22"/>
      <c r="S89" s="26"/>
      <c r="T89" s="26">
        <v>611.8</v>
      </c>
      <c r="U89" s="22"/>
      <c r="V89" s="22">
        <v>3.5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1722.8999999999999</v>
      </c>
      <c r="AG89" s="22">
        <f t="shared" si="17"/>
        <v>2131.4000000000005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.75">
      <c r="A92" s="4" t="s">
        <v>37</v>
      </c>
      <c r="B92" s="22">
        <f>63221.7-172.9+364+59-400-0.5+419-0.2</f>
        <v>63490.1</v>
      </c>
      <c r="C92" s="22">
        <v>0</v>
      </c>
      <c r="D92" s="22">
        <v>1003.2</v>
      </c>
      <c r="E92" s="22">
        <v>463.4</v>
      </c>
      <c r="F92" s="22"/>
      <c r="G92" s="22">
        <v>1549.4</v>
      </c>
      <c r="H92" s="22">
        <v>4235.7</v>
      </c>
      <c r="I92" s="22">
        <v>2898</v>
      </c>
      <c r="J92" s="22">
        <v>282.5</v>
      </c>
      <c r="K92" s="22"/>
      <c r="L92" s="22">
        <v>3333.1</v>
      </c>
      <c r="M92" s="22"/>
      <c r="N92" s="22">
        <v>1785.1</v>
      </c>
      <c r="O92" s="22">
        <v>3361.2</v>
      </c>
      <c r="P92" s="22">
        <v>766.9</v>
      </c>
      <c r="Q92" s="22">
        <v>2135.7</v>
      </c>
      <c r="R92" s="22">
        <v>2288.9</v>
      </c>
      <c r="S92" s="26">
        <v>1770.1</v>
      </c>
      <c r="T92" s="26">
        <v>551.3</v>
      </c>
      <c r="U92" s="22"/>
      <c r="V92" s="22"/>
      <c r="W92" s="22">
        <f>928.7+3247.1</f>
        <v>4175.8</v>
      </c>
      <c r="X92" s="26">
        <v>12763.1</v>
      </c>
      <c r="Y92" s="26"/>
      <c r="Z92" s="26"/>
      <c r="AA92" s="26"/>
      <c r="AB92" s="22"/>
      <c r="AC92" s="22"/>
      <c r="AD92" s="22"/>
      <c r="AE92" s="22"/>
      <c r="AF92" s="27">
        <f t="shared" si="14"/>
        <v>43363.4</v>
      </c>
      <c r="AG92" s="22">
        <f t="shared" si="17"/>
        <v>20126.699999999997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>B10+B15+B24+B33+B47+B52+B54+B61+B62+B69+B71+B72+B76+B81+B82+B83+B88+B89+B90+B91+B40+B92+B70</f>
        <v>162613.30000000002</v>
      </c>
      <c r="C94" s="42">
        <f aca="true" t="shared" si="18" ref="C94:Y94">C10+C15+C24+C33+C47+C52+C54+C61+C62+C69+C71+C72+C76+C81+C82+C83+C88+C89+C90+C91+C40+C92+C70</f>
        <v>89819.70000000001</v>
      </c>
      <c r="D94" s="42">
        <f t="shared" si="18"/>
        <v>1011.6</v>
      </c>
      <c r="E94" s="42">
        <f t="shared" si="18"/>
        <v>2762.4</v>
      </c>
      <c r="F94" s="42">
        <f t="shared" si="18"/>
        <v>1147.8999999999999</v>
      </c>
      <c r="G94" s="42">
        <f t="shared" si="18"/>
        <v>4654.4</v>
      </c>
      <c r="H94" s="42">
        <f t="shared" si="18"/>
        <v>5518.1</v>
      </c>
      <c r="I94" s="42">
        <f t="shared" si="18"/>
        <v>5306.5</v>
      </c>
      <c r="J94" s="42">
        <f t="shared" si="18"/>
        <v>2105.24</v>
      </c>
      <c r="K94" s="42">
        <f t="shared" si="18"/>
        <v>16803.999999999996</v>
      </c>
      <c r="L94" s="42">
        <f t="shared" si="18"/>
        <v>5576.35</v>
      </c>
      <c r="M94" s="42">
        <f t="shared" si="18"/>
        <v>8277.1</v>
      </c>
      <c r="N94" s="42">
        <f>N10+N15+N24+N33+N47+N52+N54+N61+N62+N69+N71+N72+N76+N81+N82+N83+N88+N89+N90+N91+N40+N92+N70</f>
        <v>3335.7999999999997</v>
      </c>
      <c r="O94" s="42">
        <f t="shared" si="18"/>
        <v>4091.1299999999997</v>
      </c>
      <c r="P94" s="42">
        <f t="shared" si="18"/>
        <v>1289.4</v>
      </c>
      <c r="Q94" s="42">
        <f t="shared" si="18"/>
        <v>3470.8999999999996</v>
      </c>
      <c r="R94" s="42">
        <f t="shared" si="18"/>
        <v>5854.860000000001</v>
      </c>
      <c r="S94" s="42">
        <f t="shared" si="18"/>
        <v>2618.1</v>
      </c>
      <c r="T94" s="42">
        <f t="shared" si="18"/>
        <v>8042.1</v>
      </c>
      <c r="U94" s="42">
        <f t="shared" si="18"/>
        <v>12502.820000000002</v>
      </c>
      <c r="V94" s="42">
        <f t="shared" si="18"/>
        <v>17203.600000000002</v>
      </c>
      <c r="W94" s="42">
        <f t="shared" si="18"/>
        <v>6106.3</v>
      </c>
      <c r="X94" s="42">
        <f t="shared" si="18"/>
        <v>13586.11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131264.71000000002</v>
      </c>
      <c r="AG94" s="58">
        <f>AG10+AG15+AG24+AG33+AG47+AG52+AG54+AG61+AG62+AG69+AG71+AG72+AG76+AG81+AG82+AG83+AG88+AG89+AG90+AG91+AG70+AG40+AG92</f>
        <v>121168.28999999998</v>
      </c>
    </row>
    <row r="95" spans="1:33" ht="15.75">
      <c r="A95" s="3" t="s">
        <v>5</v>
      </c>
      <c r="B95" s="22">
        <f aca="true" t="shared" si="19" ref="B95:AD95">B11+B17+B26+B34+B55+B63+B73+B41+B77+B48</f>
        <v>40212.799999999996</v>
      </c>
      <c r="C95" s="22">
        <f t="shared" si="19"/>
        <v>46341.600000000006</v>
      </c>
      <c r="D95" s="22">
        <f>D11+D17+D26+D34+D55+D63+D73+D41+D77+D48</f>
        <v>8.4</v>
      </c>
      <c r="E95" s="22">
        <f t="shared" si="19"/>
        <v>81.5</v>
      </c>
      <c r="F95" s="22">
        <f t="shared" si="19"/>
        <v>1084.1000000000001</v>
      </c>
      <c r="G95" s="22">
        <f t="shared" si="19"/>
        <v>191</v>
      </c>
      <c r="H95" s="22">
        <f t="shared" si="19"/>
        <v>0</v>
      </c>
      <c r="I95" s="22">
        <f t="shared" si="19"/>
        <v>108.3</v>
      </c>
      <c r="J95" s="22">
        <f t="shared" si="19"/>
        <v>1542</v>
      </c>
      <c r="K95" s="22">
        <f t="shared" si="19"/>
        <v>3826.2000000000003</v>
      </c>
      <c r="L95" s="22">
        <f t="shared" si="19"/>
        <v>1168.1</v>
      </c>
      <c r="M95" s="22">
        <f t="shared" si="19"/>
        <v>7391.6</v>
      </c>
      <c r="N95" s="22">
        <f t="shared" si="19"/>
        <v>0</v>
      </c>
      <c r="O95" s="22">
        <f t="shared" si="19"/>
        <v>87.4</v>
      </c>
      <c r="P95" s="22">
        <f t="shared" si="19"/>
        <v>20.3</v>
      </c>
      <c r="Q95" s="22">
        <f t="shared" si="19"/>
        <v>0</v>
      </c>
      <c r="R95" s="22">
        <f t="shared" si="19"/>
        <v>42.5</v>
      </c>
      <c r="S95" s="22">
        <f t="shared" si="19"/>
        <v>31.7</v>
      </c>
      <c r="T95" s="22">
        <f t="shared" si="19"/>
        <v>4608.5</v>
      </c>
      <c r="U95" s="22">
        <f t="shared" si="19"/>
        <v>3266.5999999999995</v>
      </c>
      <c r="V95" s="22">
        <f t="shared" si="19"/>
        <v>11078.6</v>
      </c>
      <c r="W95" s="22">
        <f t="shared" si="19"/>
        <v>1850.8000000000002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36387.6</v>
      </c>
      <c r="AG95" s="27">
        <f>B95+C95-AF95</f>
        <v>50166.799999999996</v>
      </c>
    </row>
    <row r="96" spans="1:33" ht="15.75">
      <c r="A96" s="3" t="s">
        <v>2</v>
      </c>
      <c r="B96" s="22">
        <f aca="true" t="shared" si="20" ref="B96:AD96">B12+B20+B29+B36+B57+B66+B44+B80+B74+B53</f>
        <v>2834.8999999999996</v>
      </c>
      <c r="C96" s="22">
        <f t="shared" si="20"/>
        <v>7805.6</v>
      </c>
      <c r="D96" s="22">
        <f t="shared" si="20"/>
        <v>0</v>
      </c>
      <c r="E96" s="22">
        <f t="shared" si="20"/>
        <v>147.9</v>
      </c>
      <c r="F96" s="22">
        <f t="shared" si="20"/>
        <v>12.3</v>
      </c>
      <c r="G96" s="22">
        <f t="shared" si="20"/>
        <v>66</v>
      </c>
      <c r="H96" s="22">
        <f t="shared" si="20"/>
        <v>115.5</v>
      </c>
      <c r="I96" s="22">
        <f t="shared" si="20"/>
        <v>68.2</v>
      </c>
      <c r="J96" s="22">
        <f t="shared" si="20"/>
        <v>3.2</v>
      </c>
      <c r="K96" s="22">
        <f t="shared" si="20"/>
        <v>178.6</v>
      </c>
      <c r="L96" s="22">
        <f t="shared" si="20"/>
        <v>136.4</v>
      </c>
      <c r="M96" s="22">
        <f t="shared" si="20"/>
        <v>0</v>
      </c>
      <c r="N96" s="22">
        <f t="shared" si="20"/>
        <v>193.8</v>
      </c>
      <c r="O96" s="22">
        <f t="shared" si="20"/>
        <v>1</v>
      </c>
      <c r="P96" s="22">
        <f t="shared" si="20"/>
        <v>1.6</v>
      </c>
      <c r="Q96" s="22">
        <f t="shared" si="20"/>
        <v>27.7</v>
      </c>
      <c r="R96" s="22">
        <f t="shared" si="20"/>
        <v>332.1</v>
      </c>
      <c r="S96" s="22">
        <f t="shared" si="20"/>
        <v>525.1</v>
      </c>
      <c r="T96" s="22">
        <f t="shared" si="20"/>
        <v>58.8</v>
      </c>
      <c r="U96" s="22">
        <f t="shared" si="20"/>
        <v>97.3</v>
      </c>
      <c r="V96" s="22">
        <f t="shared" si="20"/>
        <v>34.9</v>
      </c>
      <c r="W96" s="22">
        <f t="shared" si="20"/>
        <v>0</v>
      </c>
      <c r="X96" s="22">
        <f t="shared" si="20"/>
        <v>0.7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2001.1000000000001</v>
      </c>
      <c r="AG96" s="27">
        <f>B96+C96-AF96</f>
        <v>8639.4</v>
      </c>
    </row>
    <row r="97" spans="1:33" ht="15.75">
      <c r="A97" s="3" t="s">
        <v>3</v>
      </c>
      <c r="B97" s="22">
        <f aca="true" t="shared" si="21" ref="B97:AA97">B18+B27+B42+B64+B78</f>
        <v>3.5</v>
      </c>
      <c r="C97" s="22">
        <f t="shared" si="21"/>
        <v>25.3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28.8</v>
      </c>
    </row>
    <row r="98" spans="1:33" ht="15.75">
      <c r="A98" s="3" t="s">
        <v>1</v>
      </c>
      <c r="B98" s="22">
        <f aca="true" t="shared" si="22" ref="B98:AD98">B19+B28+B65+B35+B43+B56+B79</f>
        <v>715.9</v>
      </c>
      <c r="C98" s="22">
        <f t="shared" si="22"/>
        <v>865.3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12.6</v>
      </c>
      <c r="H98" s="22">
        <f t="shared" si="22"/>
        <v>133.2</v>
      </c>
      <c r="I98" s="22">
        <f t="shared" si="22"/>
        <v>9.7</v>
      </c>
      <c r="J98" s="22">
        <f t="shared" si="22"/>
        <v>8.1</v>
      </c>
      <c r="K98" s="22">
        <f t="shared" si="22"/>
        <v>6.4</v>
      </c>
      <c r="L98" s="22">
        <f t="shared" si="22"/>
        <v>95.19999999999999</v>
      </c>
      <c r="M98" s="22">
        <f t="shared" si="22"/>
        <v>0</v>
      </c>
      <c r="N98" s="22">
        <f t="shared" si="22"/>
        <v>28</v>
      </c>
      <c r="O98" s="22">
        <f t="shared" si="22"/>
        <v>0</v>
      </c>
      <c r="P98" s="22">
        <f t="shared" si="22"/>
        <v>6.9</v>
      </c>
      <c r="Q98" s="22">
        <f t="shared" si="22"/>
        <v>194.5</v>
      </c>
      <c r="R98" s="22">
        <f t="shared" si="22"/>
        <v>12.5</v>
      </c>
      <c r="S98" s="22">
        <f t="shared" si="22"/>
        <v>0</v>
      </c>
      <c r="T98" s="22">
        <f t="shared" si="22"/>
        <v>8.5</v>
      </c>
      <c r="U98" s="22">
        <f t="shared" si="22"/>
        <v>0</v>
      </c>
      <c r="V98" s="22">
        <f t="shared" si="22"/>
        <v>10.9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526.4999999999999</v>
      </c>
      <c r="AG98" s="27">
        <f>B98+C98-AF98</f>
        <v>1054.6999999999998</v>
      </c>
    </row>
    <row r="99" spans="1:33" ht="15.75">
      <c r="A99" s="3" t="s">
        <v>16</v>
      </c>
      <c r="B99" s="22">
        <f aca="true" t="shared" si="23" ref="B99:X99">B21+B30+B49+B37+B58+B13+B75+B67</f>
        <v>2449.6</v>
      </c>
      <c r="C99" s="22">
        <f t="shared" si="23"/>
        <v>3208.7000000000003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66.2</v>
      </c>
      <c r="H99" s="22">
        <f t="shared" si="23"/>
        <v>140</v>
      </c>
      <c r="I99" s="22">
        <f t="shared" si="23"/>
        <v>41.4</v>
      </c>
      <c r="J99" s="22">
        <f t="shared" si="23"/>
        <v>95.8</v>
      </c>
      <c r="K99" s="22">
        <f t="shared" si="23"/>
        <v>9.1</v>
      </c>
      <c r="L99" s="22">
        <f t="shared" si="23"/>
        <v>86.5</v>
      </c>
      <c r="M99" s="22">
        <f t="shared" si="23"/>
        <v>0</v>
      </c>
      <c r="N99" s="22">
        <f t="shared" si="23"/>
        <v>246.6</v>
      </c>
      <c r="O99" s="22">
        <f t="shared" si="23"/>
        <v>7</v>
      </c>
      <c r="P99" s="22">
        <f t="shared" si="23"/>
        <v>16.7</v>
      </c>
      <c r="Q99" s="22">
        <f t="shared" si="23"/>
        <v>0</v>
      </c>
      <c r="R99" s="22">
        <f t="shared" si="23"/>
        <v>544</v>
      </c>
      <c r="S99" s="22">
        <f t="shared" si="23"/>
        <v>20.7</v>
      </c>
      <c r="T99" s="22">
        <f t="shared" si="23"/>
        <v>81.1</v>
      </c>
      <c r="U99" s="22">
        <f t="shared" si="23"/>
        <v>6.4</v>
      </c>
      <c r="V99" s="22">
        <f t="shared" si="23"/>
        <v>40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1401.5000000000002</v>
      </c>
      <c r="AG99" s="27">
        <f>B99+C99-AF99</f>
        <v>4256.8</v>
      </c>
    </row>
    <row r="100" spans="1:33" ht="12.75">
      <c r="A100" s="1" t="s">
        <v>35</v>
      </c>
      <c r="B100" s="2">
        <f aca="true" t="shared" si="25" ref="B100:AD100">B94-B95-B96-B97-B98-B99</f>
        <v>116396.60000000003</v>
      </c>
      <c r="C100" s="2">
        <f t="shared" si="25"/>
        <v>31573.2</v>
      </c>
      <c r="D100" s="2">
        <f t="shared" si="25"/>
        <v>1003.2</v>
      </c>
      <c r="E100" s="2">
        <f t="shared" si="25"/>
        <v>2533</v>
      </c>
      <c r="F100" s="2">
        <f t="shared" si="25"/>
        <v>51.49999999999973</v>
      </c>
      <c r="G100" s="2">
        <f t="shared" si="25"/>
        <v>4318.599999999999</v>
      </c>
      <c r="H100" s="2">
        <f t="shared" si="25"/>
        <v>5129.400000000001</v>
      </c>
      <c r="I100" s="2">
        <f t="shared" si="25"/>
        <v>5078.900000000001</v>
      </c>
      <c r="J100" s="2">
        <f t="shared" si="25"/>
        <v>456.1399999999997</v>
      </c>
      <c r="K100" s="2">
        <f t="shared" si="25"/>
        <v>12783.699999999995</v>
      </c>
      <c r="L100" s="2">
        <f t="shared" si="25"/>
        <v>4090.1500000000005</v>
      </c>
      <c r="M100" s="2">
        <f t="shared" si="25"/>
        <v>885.5</v>
      </c>
      <c r="N100" s="2">
        <f t="shared" si="25"/>
        <v>2867.3999999999996</v>
      </c>
      <c r="O100" s="2">
        <f t="shared" si="25"/>
        <v>3995.7299999999996</v>
      </c>
      <c r="P100" s="2">
        <f t="shared" si="25"/>
        <v>1243.9</v>
      </c>
      <c r="Q100" s="2">
        <f t="shared" si="25"/>
        <v>3248.7</v>
      </c>
      <c r="R100" s="2">
        <f t="shared" si="25"/>
        <v>4923.76</v>
      </c>
      <c r="S100" s="2">
        <f t="shared" si="25"/>
        <v>2040.6000000000001</v>
      </c>
      <c r="T100" s="2">
        <f t="shared" si="25"/>
        <v>3285.2000000000003</v>
      </c>
      <c r="U100" s="2">
        <f t="shared" si="25"/>
        <v>9132.520000000002</v>
      </c>
      <c r="V100" s="2">
        <f t="shared" si="25"/>
        <v>6039.200000000003</v>
      </c>
      <c r="W100" s="2">
        <f t="shared" si="25"/>
        <v>4255.5</v>
      </c>
      <c r="X100" s="2">
        <f t="shared" si="25"/>
        <v>13585.41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90948.01000000001</v>
      </c>
      <c r="AG100" s="2">
        <f>AG94-AG95-AG96-AG97-AG98-AG99</f>
        <v>57021.789999999986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97" sqref="Q9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67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68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21</v>
      </c>
      <c r="T4" s="19">
        <v>22</v>
      </c>
      <c r="U4" s="8">
        <v>23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27643.1</v>
      </c>
      <c r="C7" s="72">
        <v>29202.3</v>
      </c>
      <c r="D7" s="45"/>
      <c r="E7" s="46">
        <v>13821.6</v>
      </c>
      <c r="F7" s="46"/>
      <c r="G7" s="46"/>
      <c r="H7" s="74"/>
      <c r="I7" s="46"/>
      <c r="J7" s="47"/>
      <c r="K7" s="46"/>
      <c r="L7" s="46"/>
      <c r="M7" s="46">
        <v>13821.5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23911.4</v>
      </c>
      <c r="AF7" s="72"/>
      <c r="AG7" s="48"/>
    </row>
    <row r="8" spans="1:55" ht="18" customHeight="1">
      <c r="A8" s="60" t="s">
        <v>30</v>
      </c>
      <c r="B8" s="40">
        <f>SUM(D8:AB8)</f>
        <v>117950.29999999997</v>
      </c>
      <c r="C8" s="40">
        <v>110304.9</v>
      </c>
      <c r="D8" s="43">
        <v>6459.1</v>
      </c>
      <c r="E8" s="55">
        <v>3818</v>
      </c>
      <c r="F8" s="55">
        <v>1955.5</v>
      </c>
      <c r="G8" s="55">
        <v>3006.9</v>
      </c>
      <c r="H8" s="55">
        <v>7542.5</v>
      </c>
      <c r="I8" s="55">
        <v>9909.7</v>
      </c>
      <c r="J8" s="56">
        <v>4691.7</v>
      </c>
      <c r="K8" s="55">
        <v>5292.2</v>
      </c>
      <c r="L8" s="55">
        <v>2159.7</v>
      </c>
      <c r="M8" s="55">
        <v>2690.8</v>
      </c>
      <c r="N8" s="55">
        <v>3175.2</v>
      </c>
      <c r="O8" s="55">
        <v>8421.1</v>
      </c>
      <c r="P8" s="55">
        <v>6923.8</v>
      </c>
      <c r="Q8" s="55">
        <v>6392.2</v>
      </c>
      <c r="R8" s="55">
        <v>6975.1</v>
      </c>
      <c r="S8" s="57">
        <v>3218.9</v>
      </c>
      <c r="T8" s="57">
        <v>4132.9</v>
      </c>
      <c r="U8" s="55">
        <v>5584.4</v>
      </c>
      <c r="V8" s="55">
        <v>4234.8</v>
      </c>
      <c r="W8" s="55">
        <v>6468.9</v>
      </c>
      <c r="X8" s="56">
        <v>5224.7</v>
      </c>
      <c r="Y8" s="56">
        <v>9672.2</v>
      </c>
      <c r="Z8" s="56"/>
      <c r="AA8" s="56"/>
      <c r="AB8" s="55"/>
      <c r="AC8" s="23"/>
      <c r="AD8" s="23"/>
      <c r="AE8" s="61">
        <v>80194.1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158508</v>
      </c>
      <c r="C9" s="24">
        <f t="shared" si="0"/>
        <v>119168.29999999997</v>
      </c>
      <c r="D9" s="24">
        <f t="shared" si="0"/>
        <v>6459.099999999999</v>
      </c>
      <c r="E9" s="24">
        <f t="shared" si="0"/>
        <v>3817.8</v>
      </c>
      <c r="F9" s="24">
        <f t="shared" si="0"/>
        <v>3121.1000000000004</v>
      </c>
      <c r="G9" s="24">
        <f t="shared" si="0"/>
        <v>3006.9</v>
      </c>
      <c r="H9" s="24">
        <f t="shared" si="0"/>
        <v>7885.3</v>
      </c>
      <c r="I9" s="24">
        <f t="shared" si="0"/>
        <v>9909.699999999999</v>
      </c>
      <c r="J9" s="24">
        <f t="shared" si="0"/>
        <v>4691.7</v>
      </c>
      <c r="K9" s="24">
        <f t="shared" si="0"/>
        <v>5290.099999999999</v>
      </c>
      <c r="L9" s="24">
        <f t="shared" si="0"/>
        <v>16103.5</v>
      </c>
      <c r="M9" s="24">
        <f t="shared" si="0"/>
        <v>15317</v>
      </c>
      <c r="N9" s="24">
        <f t="shared" si="0"/>
        <v>3269.8</v>
      </c>
      <c r="O9" s="24">
        <f t="shared" si="0"/>
        <v>8421.1</v>
      </c>
      <c r="P9" s="24">
        <f t="shared" si="0"/>
        <v>6923.8</v>
      </c>
      <c r="Q9" s="24">
        <f t="shared" si="0"/>
        <v>6909.9</v>
      </c>
      <c r="R9" s="24">
        <f t="shared" si="0"/>
        <v>6975.099999999999</v>
      </c>
      <c r="S9" s="24">
        <f t="shared" si="0"/>
        <v>2292.6</v>
      </c>
      <c r="T9" s="24">
        <f t="shared" si="0"/>
        <v>5059.2</v>
      </c>
      <c r="U9" s="24">
        <f t="shared" si="0"/>
        <v>5584.4</v>
      </c>
      <c r="V9" s="24">
        <f t="shared" si="0"/>
        <v>24442.5</v>
      </c>
      <c r="W9" s="24">
        <f t="shared" si="0"/>
        <v>20617.4</v>
      </c>
      <c r="X9" s="24">
        <f t="shared" si="0"/>
        <v>5224.7</v>
      </c>
      <c r="Y9" s="24">
        <f t="shared" si="0"/>
        <v>9672.4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180995.09999999998</v>
      </c>
      <c r="AG9" s="50">
        <f>AG10+AG15+AG24+AG33+AG47+AG52+AG54+AG61+AG62+AG71+AG72+AG76+AG88+AG81+AG83+AG82+AG69+AG89+AG91+AG90+AG70+AG40+AG92</f>
        <v>96681.19999999998</v>
      </c>
      <c r="AH9" s="49"/>
      <c r="AI9" s="49"/>
    </row>
    <row r="10" spans="1:33" ht="15.75">
      <c r="A10" s="77" t="s">
        <v>4</v>
      </c>
      <c r="B10" s="26">
        <f>13114.9-1218.4+141.7-29.5</f>
        <v>12008.7</v>
      </c>
      <c r="C10" s="26">
        <v>24463</v>
      </c>
      <c r="D10" s="22">
        <v>348</v>
      </c>
      <c r="E10" s="22">
        <v>4.4</v>
      </c>
      <c r="F10" s="22">
        <v>42</v>
      </c>
      <c r="G10" s="22">
        <v>73.8</v>
      </c>
      <c r="H10" s="22">
        <v>254.9</v>
      </c>
      <c r="I10" s="22">
        <v>57.8</v>
      </c>
      <c r="J10" s="25">
        <v>270.2</v>
      </c>
      <c r="K10" s="22">
        <v>669.1</v>
      </c>
      <c r="L10" s="22">
        <v>287.6</v>
      </c>
      <c r="M10" s="22">
        <v>5563.5</v>
      </c>
      <c r="N10" s="22">
        <v>160.1</v>
      </c>
      <c r="O10" s="27">
        <v>130.8</v>
      </c>
      <c r="P10" s="22">
        <v>2.6</v>
      </c>
      <c r="Q10" s="22">
        <v>114.8</v>
      </c>
      <c r="R10" s="22">
        <v>5</v>
      </c>
      <c r="S10" s="26">
        <v>9.5</v>
      </c>
      <c r="T10" s="26">
        <v>184.3</v>
      </c>
      <c r="U10" s="26">
        <v>6.2</v>
      </c>
      <c r="V10" s="26">
        <v>2663.5</v>
      </c>
      <c r="W10" s="26">
        <v>4422.4</v>
      </c>
      <c r="X10" s="22">
        <v>2497.1</v>
      </c>
      <c r="Y10" s="27">
        <v>0.7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17768.3</v>
      </c>
      <c r="AG10" s="27">
        <f>B10+C10-AF10</f>
        <v>18703.399999999998</v>
      </c>
    </row>
    <row r="11" spans="1:33" ht="15.75">
      <c r="A11" s="78" t="s">
        <v>5</v>
      </c>
      <c r="B11" s="25">
        <f>12385.1-1218.4-1-10.6</f>
        <v>11155.1</v>
      </c>
      <c r="C11" s="26">
        <v>22277.8</v>
      </c>
      <c r="D11" s="22">
        <v>336.3</v>
      </c>
      <c r="E11" s="22"/>
      <c r="F11" s="22"/>
      <c r="G11" s="22">
        <v>51.1</v>
      </c>
      <c r="H11" s="22">
        <v>240.9</v>
      </c>
      <c r="I11" s="22"/>
      <c r="J11" s="26">
        <v>202.9</v>
      </c>
      <c r="K11" s="22">
        <v>667.3</v>
      </c>
      <c r="L11" s="22">
        <v>278.9</v>
      </c>
      <c r="M11" s="22">
        <v>5555.6</v>
      </c>
      <c r="N11" s="22">
        <v>141.7</v>
      </c>
      <c r="O11" s="27"/>
      <c r="P11" s="22"/>
      <c r="Q11" s="22">
        <v>90.7</v>
      </c>
      <c r="R11" s="22"/>
      <c r="S11" s="26"/>
      <c r="T11" s="26">
        <v>183</v>
      </c>
      <c r="U11" s="26"/>
      <c r="V11" s="26">
        <v>2602.2</v>
      </c>
      <c r="W11" s="26">
        <v>4307.4</v>
      </c>
      <c r="X11" s="22">
        <v>2457.5</v>
      </c>
      <c r="Y11" s="26"/>
      <c r="Z11" s="26"/>
      <c r="AA11" s="26"/>
      <c r="AB11" s="22"/>
      <c r="AC11" s="22"/>
      <c r="AD11" s="22"/>
      <c r="AE11" s="22"/>
      <c r="AF11" s="22">
        <f t="shared" si="1"/>
        <v>17115.5</v>
      </c>
      <c r="AG11" s="27">
        <f>B11+C11-AF11</f>
        <v>16317.400000000001</v>
      </c>
    </row>
    <row r="12" spans="1:33" ht="15.75">
      <c r="A12" s="78" t="s">
        <v>2</v>
      </c>
      <c r="B12" s="25">
        <v>67.6</v>
      </c>
      <c r="C12" s="26">
        <v>181.3</v>
      </c>
      <c r="D12" s="22"/>
      <c r="E12" s="22"/>
      <c r="F12" s="22"/>
      <c r="G12" s="22"/>
      <c r="H12" s="22"/>
      <c r="I12" s="22">
        <v>4.6</v>
      </c>
      <c r="J12" s="26"/>
      <c r="K12" s="22"/>
      <c r="L12" s="22">
        <v>0.7</v>
      </c>
      <c r="M12" s="22"/>
      <c r="N12" s="22"/>
      <c r="O12" s="27">
        <v>0.7</v>
      </c>
      <c r="P12" s="22"/>
      <c r="Q12" s="22">
        <v>13.7</v>
      </c>
      <c r="R12" s="22"/>
      <c r="S12" s="26"/>
      <c r="T12" s="26"/>
      <c r="U12" s="26"/>
      <c r="V12" s="26">
        <v>56.1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75.8</v>
      </c>
      <c r="AG12" s="27">
        <f>B12+C12-AF12</f>
        <v>173.10000000000002</v>
      </c>
    </row>
    <row r="13" spans="1:33" ht="15.7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78" t="s">
        <v>23</v>
      </c>
      <c r="B14" s="26">
        <f aca="true" t="shared" si="2" ref="B14:AD14">B10-B11-B12</f>
        <v>786.0000000000003</v>
      </c>
      <c r="C14" s="26">
        <f t="shared" si="2"/>
        <v>2003.9000000000008</v>
      </c>
      <c r="D14" s="22">
        <f t="shared" si="2"/>
        <v>11.699999999999989</v>
      </c>
      <c r="E14" s="22">
        <f t="shared" si="2"/>
        <v>4.4</v>
      </c>
      <c r="F14" s="22">
        <f t="shared" si="2"/>
        <v>42</v>
      </c>
      <c r="G14" s="22">
        <f t="shared" si="2"/>
        <v>22.699999999999996</v>
      </c>
      <c r="H14" s="22">
        <f t="shared" si="2"/>
        <v>14</v>
      </c>
      <c r="I14" s="22">
        <f t="shared" si="2"/>
        <v>53.199999999999996</v>
      </c>
      <c r="J14" s="22">
        <f t="shared" si="2"/>
        <v>67.29999999999998</v>
      </c>
      <c r="K14" s="22">
        <f t="shared" si="2"/>
        <v>1.8000000000000682</v>
      </c>
      <c r="L14" s="22">
        <f t="shared" si="2"/>
        <v>8.000000000000046</v>
      </c>
      <c r="M14" s="22">
        <f t="shared" si="2"/>
        <v>7.899999999999636</v>
      </c>
      <c r="N14" s="22">
        <f t="shared" si="2"/>
        <v>18.400000000000006</v>
      </c>
      <c r="O14" s="22">
        <f t="shared" si="2"/>
        <v>130.10000000000002</v>
      </c>
      <c r="P14" s="22">
        <f t="shared" si="2"/>
        <v>2.6</v>
      </c>
      <c r="Q14" s="22">
        <f t="shared" si="2"/>
        <v>10.399999999999995</v>
      </c>
      <c r="R14" s="22">
        <f t="shared" si="2"/>
        <v>5</v>
      </c>
      <c r="S14" s="22">
        <f t="shared" si="2"/>
        <v>9.5</v>
      </c>
      <c r="T14" s="22">
        <f t="shared" si="2"/>
        <v>1.3000000000000114</v>
      </c>
      <c r="U14" s="22">
        <f t="shared" si="2"/>
        <v>6.2</v>
      </c>
      <c r="V14" s="22">
        <f t="shared" si="2"/>
        <v>5.2000000000001805</v>
      </c>
      <c r="W14" s="22">
        <f t="shared" si="2"/>
        <v>115</v>
      </c>
      <c r="X14" s="22">
        <f t="shared" si="2"/>
        <v>39.59999999999991</v>
      </c>
      <c r="Y14" s="22">
        <f t="shared" si="2"/>
        <v>0.7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576.9999999999999</v>
      </c>
      <c r="AG14" s="27">
        <f>AG10-AG11-AG12-AG13</f>
        <v>2212.8999999999965</v>
      </c>
    </row>
    <row r="15" spans="1:33" ht="15" customHeight="1">
      <c r="A15" s="77" t="s">
        <v>6</v>
      </c>
      <c r="B15" s="26">
        <f>24457.5-161.2+223.6+20-0.2</f>
        <v>24539.699999999997</v>
      </c>
      <c r="C15" s="26">
        <v>39557.5</v>
      </c>
      <c r="D15" s="44"/>
      <c r="E15" s="44">
        <v>131</v>
      </c>
      <c r="F15" s="22"/>
      <c r="G15" s="22">
        <v>376.8</v>
      </c>
      <c r="H15" s="22">
        <v>35.4</v>
      </c>
      <c r="I15" s="22">
        <v>105.8</v>
      </c>
      <c r="J15" s="26">
        <v>117</v>
      </c>
      <c r="K15" s="22">
        <v>93</v>
      </c>
      <c r="L15" s="22">
        <v>3179.6</v>
      </c>
      <c r="M15" s="22">
        <v>5641.3</v>
      </c>
      <c r="N15" s="22">
        <v>44.7</v>
      </c>
      <c r="O15" s="27"/>
      <c r="P15" s="22">
        <v>341.3</v>
      </c>
      <c r="Q15" s="27">
        <v>226.2</v>
      </c>
      <c r="R15" s="22">
        <v>71.3</v>
      </c>
      <c r="S15" s="26"/>
      <c r="T15" s="26">
        <v>204.4</v>
      </c>
      <c r="U15" s="26">
        <v>196.8</v>
      </c>
      <c r="V15" s="26">
        <v>17509.3</v>
      </c>
      <c r="W15" s="26">
        <v>115</v>
      </c>
      <c r="X15" s="22">
        <v>469.9</v>
      </c>
      <c r="Y15" s="26"/>
      <c r="Z15" s="26"/>
      <c r="AA15" s="26"/>
      <c r="AB15" s="22"/>
      <c r="AC15" s="22"/>
      <c r="AD15" s="22"/>
      <c r="AE15" s="22"/>
      <c r="AF15" s="27">
        <f t="shared" si="1"/>
        <v>28858.8</v>
      </c>
      <c r="AG15" s="27">
        <f aca="true" t="shared" si="3" ref="AG15:AG31">B15+C15-AF15</f>
        <v>35238.399999999994</v>
      </c>
    </row>
    <row r="16" spans="1:34" s="70" customFormat="1" ht="15" customHeight="1">
      <c r="A16" s="79" t="s">
        <v>38</v>
      </c>
      <c r="B16" s="68">
        <v>7786.6</v>
      </c>
      <c r="C16" s="68">
        <v>20102.8</v>
      </c>
      <c r="D16" s="67"/>
      <c r="E16" s="67"/>
      <c r="F16" s="66"/>
      <c r="G16" s="66"/>
      <c r="H16" s="66"/>
      <c r="I16" s="66"/>
      <c r="J16" s="68"/>
      <c r="K16" s="66"/>
      <c r="L16" s="66">
        <v>2781.8</v>
      </c>
      <c r="M16" s="66"/>
      <c r="N16" s="66"/>
      <c r="O16" s="69"/>
      <c r="P16" s="66"/>
      <c r="Q16" s="69"/>
      <c r="R16" s="66"/>
      <c r="S16" s="68"/>
      <c r="T16" s="68"/>
      <c r="U16" s="68"/>
      <c r="V16" s="68">
        <v>7228.1</v>
      </c>
      <c r="W16" s="68">
        <v>78.7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10088.600000000002</v>
      </c>
      <c r="AG16" s="71">
        <f t="shared" si="3"/>
        <v>17800.8</v>
      </c>
      <c r="AH16" s="75"/>
    </row>
    <row r="17" spans="1:34" ht="15.75">
      <c r="A17" s="78" t="s">
        <v>5</v>
      </c>
      <c r="B17" s="26">
        <f>19615.4-122.1+223.5</f>
        <v>19716.800000000003</v>
      </c>
      <c r="C17" s="26">
        <v>25968.2</v>
      </c>
      <c r="D17" s="22"/>
      <c r="E17" s="22">
        <v>131</v>
      </c>
      <c r="F17" s="22"/>
      <c r="G17" s="22"/>
      <c r="H17" s="22"/>
      <c r="I17" s="22"/>
      <c r="J17" s="26"/>
      <c r="K17" s="22"/>
      <c r="L17" s="22">
        <v>2781.8</v>
      </c>
      <c r="M17" s="22">
        <v>4830.6</v>
      </c>
      <c r="N17" s="22"/>
      <c r="O17" s="27"/>
      <c r="P17" s="22"/>
      <c r="Q17" s="27"/>
      <c r="R17" s="22"/>
      <c r="S17" s="26"/>
      <c r="T17" s="26"/>
      <c r="U17" s="26"/>
      <c r="V17" s="26">
        <v>16812</v>
      </c>
      <c r="W17" s="26">
        <v>78.7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24634.100000000002</v>
      </c>
      <c r="AG17" s="27">
        <f t="shared" si="3"/>
        <v>21050.899999999998</v>
      </c>
      <c r="AH17" s="6"/>
    </row>
    <row r="18" spans="1:35" ht="15.75">
      <c r="A18" s="78" t="s">
        <v>3</v>
      </c>
      <c r="B18" s="26">
        <v>1</v>
      </c>
      <c r="C18" s="26">
        <v>28.8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>
        <v>0.8</v>
      </c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0.8</v>
      </c>
      <c r="AG18" s="27">
        <f t="shared" si="3"/>
        <v>29</v>
      </c>
      <c r="AH18" s="6"/>
      <c r="AI18" s="6"/>
    </row>
    <row r="19" spans="1:33" ht="15.75">
      <c r="A19" s="78" t="s">
        <v>1</v>
      </c>
      <c r="B19" s="26">
        <v>1095.3</v>
      </c>
      <c r="C19" s="26">
        <v>771.5</v>
      </c>
      <c r="D19" s="22"/>
      <c r="E19" s="22"/>
      <c r="F19" s="22"/>
      <c r="G19" s="22">
        <v>183.6</v>
      </c>
      <c r="H19" s="22"/>
      <c r="I19" s="22">
        <v>105.8</v>
      </c>
      <c r="J19" s="26"/>
      <c r="K19" s="22"/>
      <c r="L19" s="22">
        <v>213.2</v>
      </c>
      <c r="M19" s="22">
        <v>110.8</v>
      </c>
      <c r="N19" s="22">
        <v>44.7</v>
      </c>
      <c r="O19" s="27"/>
      <c r="P19" s="22"/>
      <c r="Q19" s="27"/>
      <c r="R19" s="22"/>
      <c r="S19" s="26"/>
      <c r="T19" s="26">
        <v>132.4</v>
      </c>
      <c r="U19" s="26"/>
      <c r="V19" s="26"/>
      <c r="W19" s="26">
        <v>7.7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798.2</v>
      </c>
      <c r="AG19" s="27">
        <f t="shared" si="3"/>
        <v>1068.6</v>
      </c>
    </row>
    <row r="20" spans="1:33" ht="15.75">
      <c r="A20" s="78" t="s">
        <v>2</v>
      </c>
      <c r="B20" s="26">
        <f>664.8-39</f>
        <v>625.8</v>
      </c>
      <c r="C20" s="26">
        <v>7028.1</v>
      </c>
      <c r="D20" s="22"/>
      <c r="E20" s="22"/>
      <c r="F20" s="22"/>
      <c r="G20" s="22">
        <v>14.5</v>
      </c>
      <c r="H20" s="22">
        <v>23.3</v>
      </c>
      <c r="I20" s="22"/>
      <c r="J20" s="26"/>
      <c r="K20" s="22">
        <v>10.6</v>
      </c>
      <c r="L20" s="22">
        <v>164.1</v>
      </c>
      <c r="M20" s="22">
        <v>6.2</v>
      </c>
      <c r="N20" s="22"/>
      <c r="O20" s="27"/>
      <c r="P20" s="22">
        <v>2</v>
      </c>
      <c r="Q20" s="27">
        <v>76.1</v>
      </c>
      <c r="R20" s="22">
        <v>9.8</v>
      </c>
      <c r="S20" s="26"/>
      <c r="T20" s="26">
        <v>20.6</v>
      </c>
      <c r="U20" s="26">
        <v>30.4</v>
      </c>
      <c r="V20" s="26">
        <v>338.1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695.7</v>
      </c>
      <c r="AG20" s="27">
        <f t="shared" si="3"/>
        <v>6958.200000000001</v>
      </c>
    </row>
    <row r="21" spans="1:33" ht="15.75">
      <c r="A21" s="78" t="s">
        <v>16</v>
      </c>
      <c r="B21" s="26">
        <v>735.6</v>
      </c>
      <c r="C21" s="26">
        <v>388.8</v>
      </c>
      <c r="D21" s="22"/>
      <c r="E21" s="22"/>
      <c r="F21" s="22"/>
      <c r="G21" s="22">
        <v>1.2</v>
      </c>
      <c r="H21" s="22"/>
      <c r="I21" s="22"/>
      <c r="J21" s="26"/>
      <c r="K21" s="22"/>
      <c r="L21" s="22">
        <v>5.4</v>
      </c>
      <c r="M21" s="22">
        <v>577.1</v>
      </c>
      <c r="N21" s="22"/>
      <c r="O21" s="27"/>
      <c r="P21" s="22">
        <v>113.5</v>
      </c>
      <c r="Q21" s="27"/>
      <c r="R21" s="22"/>
      <c r="S21" s="26"/>
      <c r="T21" s="26">
        <v>50.5</v>
      </c>
      <c r="U21" s="22">
        <v>20.2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767.9000000000001</v>
      </c>
      <c r="AG21" s="27">
        <f t="shared" si="3"/>
        <v>356.5</v>
      </c>
    </row>
    <row r="22" spans="1:33" ht="15.7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78" t="s">
        <v>23</v>
      </c>
      <c r="B23" s="26">
        <f aca="true" t="shared" si="4" ref="B23:AD23">B15-B17-B18-B19-B20-B21-B22</f>
        <v>2365.199999999994</v>
      </c>
      <c r="C23" s="26">
        <f t="shared" si="4"/>
        <v>5372.099999999999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177.50000000000003</v>
      </c>
      <c r="H23" s="22">
        <f t="shared" si="4"/>
        <v>12.099999999999998</v>
      </c>
      <c r="I23" s="22">
        <f t="shared" si="4"/>
        <v>0</v>
      </c>
      <c r="J23" s="22">
        <f t="shared" si="4"/>
        <v>117</v>
      </c>
      <c r="K23" s="22">
        <f t="shared" si="4"/>
        <v>82.4</v>
      </c>
      <c r="L23" s="22">
        <f t="shared" si="4"/>
        <v>15.099999999999744</v>
      </c>
      <c r="M23" s="22">
        <f t="shared" si="4"/>
        <v>116.5999999999998</v>
      </c>
      <c r="N23" s="22">
        <f t="shared" si="4"/>
        <v>0</v>
      </c>
      <c r="O23" s="22">
        <f t="shared" si="4"/>
        <v>0</v>
      </c>
      <c r="P23" s="22">
        <f t="shared" si="4"/>
        <v>225.8</v>
      </c>
      <c r="Q23" s="22">
        <f t="shared" si="4"/>
        <v>149.29999999999998</v>
      </c>
      <c r="R23" s="22">
        <f t="shared" si="4"/>
        <v>61.5</v>
      </c>
      <c r="S23" s="22">
        <f t="shared" si="4"/>
        <v>0</v>
      </c>
      <c r="T23" s="22">
        <f t="shared" si="4"/>
        <v>0.8999999999999986</v>
      </c>
      <c r="U23" s="22">
        <f t="shared" si="4"/>
        <v>146.20000000000002</v>
      </c>
      <c r="V23" s="22">
        <f t="shared" si="4"/>
        <v>359.19999999999925</v>
      </c>
      <c r="W23" s="22">
        <f t="shared" si="4"/>
        <v>28.599999999999998</v>
      </c>
      <c r="X23" s="22">
        <f t="shared" si="4"/>
        <v>469.9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1962.0999999999985</v>
      </c>
      <c r="AG23" s="27">
        <f t="shared" si="3"/>
        <v>5775.199999999995</v>
      </c>
    </row>
    <row r="24" spans="1:36" ht="15" customHeight="1">
      <c r="A24" s="77" t="s">
        <v>7</v>
      </c>
      <c r="B24" s="26">
        <f>27450.4+2181.2</f>
        <v>29631.600000000002</v>
      </c>
      <c r="C24" s="26">
        <v>18695.8</v>
      </c>
      <c r="D24" s="22"/>
      <c r="E24" s="22"/>
      <c r="F24" s="22"/>
      <c r="G24" s="22"/>
      <c r="H24" s="22">
        <v>761.1</v>
      </c>
      <c r="I24" s="22"/>
      <c r="J24" s="26"/>
      <c r="K24" s="22">
        <v>698.1</v>
      </c>
      <c r="L24" s="22">
        <v>11570.3</v>
      </c>
      <c r="M24" s="22">
        <v>353.8</v>
      </c>
      <c r="N24" s="22">
        <v>94.6</v>
      </c>
      <c r="O24" s="27"/>
      <c r="P24" s="22"/>
      <c r="Q24" s="27">
        <v>1111.8</v>
      </c>
      <c r="R24" s="27"/>
      <c r="S24" s="26">
        <v>6.2</v>
      </c>
      <c r="T24" s="26">
        <v>7.4</v>
      </c>
      <c r="U24" s="26">
        <v>35.8</v>
      </c>
      <c r="V24" s="26">
        <v>1238.7</v>
      </c>
      <c r="W24" s="26">
        <v>13432.6</v>
      </c>
      <c r="X24" s="22">
        <v>6</v>
      </c>
      <c r="Y24" s="26"/>
      <c r="Z24" s="26"/>
      <c r="AA24" s="26"/>
      <c r="AB24" s="22"/>
      <c r="AC24" s="22"/>
      <c r="AD24" s="22"/>
      <c r="AE24" s="22"/>
      <c r="AF24" s="27">
        <f t="shared" si="1"/>
        <v>29316.4</v>
      </c>
      <c r="AG24" s="27">
        <f t="shared" si="3"/>
        <v>19011</v>
      </c>
      <c r="AJ24" s="6"/>
    </row>
    <row r="25" spans="1:34" s="70" customFormat="1" ht="15" customHeight="1">
      <c r="A25" s="79" t="s">
        <v>39</v>
      </c>
      <c r="B25" s="68">
        <v>19856.5</v>
      </c>
      <c r="C25" s="68">
        <v>3324.5</v>
      </c>
      <c r="D25" s="66"/>
      <c r="E25" s="66"/>
      <c r="F25" s="66"/>
      <c r="G25" s="66"/>
      <c r="H25" s="66">
        <v>342.7</v>
      </c>
      <c r="I25" s="66"/>
      <c r="J25" s="68"/>
      <c r="K25" s="66"/>
      <c r="L25" s="66">
        <v>11233</v>
      </c>
      <c r="M25" s="66">
        <v>0.5</v>
      </c>
      <c r="N25" s="66">
        <v>94.6</v>
      </c>
      <c r="O25" s="69"/>
      <c r="P25" s="66"/>
      <c r="Q25" s="69">
        <v>517.7</v>
      </c>
      <c r="R25" s="69"/>
      <c r="S25" s="68"/>
      <c r="T25" s="68"/>
      <c r="U25" s="68"/>
      <c r="V25" s="68">
        <v>529.4</v>
      </c>
      <c r="W25" s="68">
        <v>9922.2</v>
      </c>
      <c r="X25" s="66">
        <v>0.2</v>
      </c>
      <c r="Y25" s="68"/>
      <c r="Z25" s="68"/>
      <c r="AA25" s="68"/>
      <c r="AB25" s="66"/>
      <c r="AC25" s="66"/>
      <c r="AD25" s="66"/>
      <c r="AE25" s="66"/>
      <c r="AF25" s="71">
        <f t="shared" si="1"/>
        <v>22640.300000000003</v>
      </c>
      <c r="AG25" s="71">
        <f t="shared" si="3"/>
        <v>540.6999999999971</v>
      </c>
      <c r="AH25" s="75"/>
    </row>
    <row r="26" spans="1:34" ht="15.7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78" t="s">
        <v>23</v>
      </c>
      <c r="B32" s="26">
        <f aca="true" t="shared" si="5" ref="B32:AD32">B24</f>
        <v>29631.600000000002</v>
      </c>
      <c r="C32" s="26">
        <f t="shared" si="5"/>
        <v>18695.8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761.1</v>
      </c>
      <c r="I32" s="22">
        <f t="shared" si="5"/>
        <v>0</v>
      </c>
      <c r="J32" s="22">
        <f t="shared" si="5"/>
        <v>0</v>
      </c>
      <c r="K32" s="22">
        <f t="shared" si="5"/>
        <v>698.1</v>
      </c>
      <c r="L32" s="22">
        <f t="shared" si="5"/>
        <v>11570.3</v>
      </c>
      <c r="M32" s="22">
        <f t="shared" si="5"/>
        <v>353.8</v>
      </c>
      <c r="N32" s="22">
        <f t="shared" si="5"/>
        <v>94.6</v>
      </c>
      <c r="O32" s="22">
        <f t="shared" si="5"/>
        <v>0</v>
      </c>
      <c r="P32" s="22">
        <f t="shared" si="5"/>
        <v>0</v>
      </c>
      <c r="Q32" s="22">
        <f t="shared" si="5"/>
        <v>1111.8</v>
      </c>
      <c r="R32" s="22">
        <f t="shared" si="5"/>
        <v>0</v>
      </c>
      <c r="S32" s="22">
        <f t="shared" si="5"/>
        <v>6.2</v>
      </c>
      <c r="T32" s="22">
        <f t="shared" si="5"/>
        <v>7.4</v>
      </c>
      <c r="U32" s="22">
        <f t="shared" si="5"/>
        <v>35.8</v>
      </c>
      <c r="V32" s="22">
        <f t="shared" si="5"/>
        <v>1238.7</v>
      </c>
      <c r="W32" s="22">
        <f t="shared" si="5"/>
        <v>13432.6</v>
      </c>
      <c r="X32" s="22">
        <f t="shared" si="5"/>
        <v>6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29316.4</v>
      </c>
      <c r="AG32" s="27">
        <f>AG24</f>
        <v>19011</v>
      </c>
    </row>
    <row r="33" spans="1:33" ht="15" customHeight="1">
      <c r="A33" s="77" t="s">
        <v>8</v>
      </c>
      <c r="B33" s="26">
        <f>1881-1400</f>
        <v>481</v>
      </c>
      <c r="C33" s="26">
        <f>2356.5-2000</f>
        <v>356.5</v>
      </c>
      <c r="D33" s="22"/>
      <c r="E33" s="22"/>
      <c r="F33" s="22"/>
      <c r="G33" s="22"/>
      <c r="H33" s="22"/>
      <c r="I33" s="22">
        <v>76.5</v>
      </c>
      <c r="J33" s="26"/>
      <c r="K33" s="22"/>
      <c r="L33" s="22">
        <v>37.7</v>
      </c>
      <c r="M33" s="22">
        <v>49.7</v>
      </c>
      <c r="N33" s="22"/>
      <c r="O33" s="27"/>
      <c r="P33" s="22"/>
      <c r="Q33" s="27">
        <v>0.9</v>
      </c>
      <c r="R33" s="22">
        <v>102.7</v>
      </c>
      <c r="S33" s="26"/>
      <c r="T33" s="26">
        <v>8.7</v>
      </c>
      <c r="U33" s="26"/>
      <c r="V33" s="26">
        <v>65.9</v>
      </c>
      <c r="W33" s="26">
        <v>60.6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402.70000000000005</v>
      </c>
      <c r="AG33" s="27">
        <f aca="true" t="shared" si="6" ref="AG33:AG38">B33+C33-AF33</f>
        <v>434.79999999999995</v>
      </c>
    </row>
    <row r="34" spans="1:33" ht="15.75">
      <c r="A34" s="78" t="s">
        <v>5</v>
      </c>
      <c r="B34" s="26">
        <v>220.4</v>
      </c>
      <c r="C34" s="26">
        <v>42</v>
      </c>
      <c r="D34" s="22"/>
      <c r="E34" s="22"/>
      <c r="F34" s="22"/>
      <c r="G34" s="22"/>
      <c r="H34" s="22"/>
      <c r="I34" s="22"/>
      <c r="J34" s="26"/>
      <c r="K34" s="22"/>
      <c r="L34" s="22">
        <v>37.7</v>
      </c>
      <c r="M34" s="22">
        <v>47.7</v>
      </c>
      <c r="N34" s="22"/>
      <c r="O34" s="22"/>
      <c r="P34" s="22"/>
      <c r="Q34" s="27"/>
      <c r="R34" s="22"/>
      <c r="S34" s="26"/>
      <c r="T34" s="26"/>
      <c r="U34" s="26"/>
      <c r="V34" s="26">
        <v>65.9</v>
      </c>
      <c r="W34" s="26">
        <v>60.6</v>
      </c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211.9</v>
      </c>
      <c r="AG34" s="27">
        <f t="shared" si="6"/>
        <v>50.49999999999997</v>
      </c>
    </row>
    <row r="35" spans="1:33" ht="15.75">
      <c r="A35" s="78" t="s">
        <v>1</v>
      </c>
      <c r="B35" s="26">
        <v>0</v>
      </c>
      <c r="C35" s="26">
        <v>152.8</v>
      </c>
      <c r="D35" s="22"/>
      <c r="E35" s="22"/>
      <c r="F35" s="22"/>
      <c r="G35" s="22"/>
      <c r="H35" s="22"/>
      <c r="I35" s="22">
        <v>74.6</v>
      </c>
      <c r="J35" s="26"/>
      <c r="K35" s="22"/>
      <c r="L35" s="22"/>
      <c r="M35" s="22"/>
      <c r="N35" s="22"/>
      <c r="O35" s="22"/>
      <c r="P35" s="22"/>
      <c r="Q35" s="27"/>
      <c r="R35" s="22">
        <v>71.5</v>
      </c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146.1</v>
      </c>
      <c r="AG35" s="27">
        <f t="shared" si="6"/>
        <v>6.700000000000017</v>
      </c>
    </row>
    <row r="36" spans="1:33" ht="15.75">
      <c r="A36" s="78" t="s">
        <v>2</v>
      </c>
      <c r="B36" s="80">
        <v>4</v>
      </c>
      <c r="C36" s="26">
        <v>11.3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1</v>
      </c>
      <c r="N36" s="22"/>
      <c r="O36" s="27"/>
      <c r="P36" s="22"/>
      <c r="Q36" s="27">
        <v>0.1</v>
      </c>
      <c r="R36" s="22">
        <v>0.1</v>
      </c>
      <c r="S36" s="26"/>
      <c r="T36" s="26">
        <v>2.5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3.7</v>
      </c>
      <c r="AG36" s="27">
        <f t="shared" si="6"/>
        <v>11.600000000000001</v>
      </c>
    </row>
    <row r="37" spans="1:33" ht="15.75">
      <c r="A37" s="78" t="s">
        <v>16</v>
      </c>
      <c r="B37" s="26">
        <f>1582.6-1400</f>
        <v>182.5999999999999</v>
      </c>
      <c r="C37" s="26">
        <f>2034.7-2000</f>
        <v>34.700000000000045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217.29999999999995</v>
      </c>
    </row>
    <row r="38" spans="1:33" ht="15.7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78" t="s">
        <v>23</v>
      </c>
      <c r="B39" s="26">
        <f aca="true" t="shared" si="7" ref="B39:AD39">B33-B34-B36-B38-B37-B35</f>
        <v>74.00000000000011</v>
      </c>
      <c r="C39" s="26">
        <f t="shared" si="7"/>
        <v>115.69999999999993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1.9000000000000057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0.8</v>
      </c>
      <c r="R39" s="22">
        <f t="shared" si="7"/>
        <v>31.10000000000001</v>
      </c>
      <c r="S39" s="22">
        <f t="shared" si="7"/>
        <v>0</v>
      </c>
      <c r="T39" s="22">
        <f t="shared" si="7"/>
        <v>6.199999999999999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41.000000000000014</v>
      </c>
      <c r="AG39" s="27">
        <f>AG33-AG34-AG36-AG38-AG35-AG37</f>
        <v>148.69999999999993</v>
      </c>
    </row>
    <row r="40" spans="1:33" ht="15" customHeight="1">
      <c r="A40" s="77" t="s">
        <v>29</v>
      </c>
      <c r="B40" s="26">
        <v>971.6</v>
      </c>
      <c r="C40" s="26">
        <v>209</v>
      </c>
      <c r="D40" s="22"/>
      <c r="E40" s="22"/>
      <c r="F40" s="22"/>
      <c r="G40" s="22"/>
      <c r="H40" s="22"/>
      <c r="I40" s="22"/>
      <c r="J40" s="26"/>
      <c r="K40" s="22">
        <v>328.4</v>
      </c>
      <c r="L40" s="22"/>
      <c r="M40" s="22"/>
      <c r="N40" s="22"/>
      <c r="O40" s="27"/>
      <c r="P40" s="22"/>
      <c r="Q40" s="27">
        <v>3.5</v>
      </c>
      <c r="R40" s="27">
        <v>1.9</v>
      </c>
      <c r="S40" s="26"/>
      <c r="T40" s="26"/>
      <c r="U40" s="26"/>
      <c r="V40" s="26">
        <v>509.6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843.4</v>
      </c>
      <c r="AG40" s="27">
        <f aca="true" t="shared" si="8" ref="AG40:AG45">B40+C40-AF40</f>
        <v>337.19999999999993</v>
      </c>
    </row>
    <row r="41" spans="1:34" ht="15.75">
      <c r="A41" s="78" t="s">
        <v>5</v>
      </c>
      <c r="B41" s="26">
        <v>937.6</v>
      </c>
      <c r="C41" s="26">
        <v>74.6</v>
      </c>
      <c r="D41" s="22"/>
      <c r="E41" s="22"/>
      <c r="F41" s="22"/>
      <c r="G41" s="22"/>
      <c r="H41" s="22"/>
      <c r="I41" s="22"/>
      <c r="J41" s="26"/>
      <c r="K41" s="22">
        <v>305.3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503.4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808.7</v>
      </c>
      <c r="AG41" s="27">
        <f t="shared" si="8"/>
        <v>203.5</v>
      </c>
      <c r="AH41" s="6"/>
    </row>
    <row r="42" spans="1:33" ht="15.75">
      <c r="A42" s="78" t="s">
        <v>3</v>
      </c>
      <c r="B42" s="26">
        <v>0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78" t="s">
        <v>1</v>
      </c>
      <c r="B43" s="26">
        <v>0</v>
      </c>
      <c r="C43" s="26">
        <v>11.1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11.1</v>
      </c>
    </row>
    <row r="44" spans="1:33" ht="15.75">
      <c r="A44" s="78" t="s">
        <v>2</v>
      </c>
      <c r="B44" s="26">
        <v>5</v>
      </c>
      <c r="C44" s="26">
        <v>104.4</v>
      </c>
      <c r="D44" s="22"/>
      <c r="E44" s="22"/>
      <c r="F44" s="22"/>
      <c r="G44" s="22"/>
      <c r="H44" s="22"/>
      <c r="I44" s="22"/>
      <c r="J44" s="26"/>
      <c r="K44" s="22">
        <v>1.3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>
        <v>5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6.3</v>
      </c>
      <c r="AG44" s="27">
        <f t="shared" si="8"/>
        <v>103.10000000000001</v>
      </c>
    </row>
    <row r="45" spans="1:33" ht="15.7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78" t="s">
        <v>23</v>
      </c>
      <c r="B46" s="26">
        <f aca="true" t="shared" si="10" ref="B46:AD46">B40-B41-B42-B43-B44-B45</f>
        <v>29</v>
      </c>
      <c r="C46" s="26">
        <f t="shared" si="10"/>
        <v>18.900000000000006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21.799999999999965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3.5</v>
      </c>
      <c r="R46" s="22">
        <f t="shared" si="10"/>
        <v>1.9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1.2000000000000455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28.40000000000001</v>
      </c>
      <c r="AG46" s="27">
        <f>AG40-AG41-AG42-AG43-AG44-AG45</f>
        <v>19.49999999999993</v>
      </c>
    </row>
    <row r="47" spans="1:33" ht="17.25" customHeight="1">
      <c r="A47" s="77" t="s">
        <v>43</v>
      </c>
      <c r="B47" s="25">
        <f>1186.7-3.3-438.2</f>
        <v>745.2</v>
      </c>
      <c r="C47" s="26">
        <v>1924.1</v>
      </c>
      <c r="D47" s="22">
        <v>-2.4</v>
      </c>
      <c r="E47" s="28">
        <v>18.4</v>
      </c>
      <c r="F47" s="28">
        <v>147</v>
      </c>
      <c r="G47" s="28">
        <v>20.4</v>
      </c>
      <c r="H47" s="28">
        <v>3.9</v>
      </c>
      <c r="I47" s="28">
        <v>28.8</v>
      </c>
      <c r="J47" s="29">
        <v>6</v>
      </c>
      <c r="K47" s="28">
        <v>4</v>
      </c>
      <c r="L47" s="28"/>
      <c r="M47" s="28">
        <f>23.6+29.7</f>
        <v>53.3</v>
      </c>
      <c r="N47" s="28">
        <v>5</v>
      </c>
      <c r="O47" s="31"/>
      <c r="P47" s="28">
        <v>35.4</v>
      </c>
      <c r="Q47" s="28">
        <v>9.5</v>
      </c>
      <c r="R47" s="28">
        <v>57.3</v>
      </c>
      <c r="S47" s="29"/>
      <c r="T47" s="29">
        <v>47.4</v>
      </c>
      <c r="U47" s="28"/>
      <c r="V47" s="28">
        <v>33.7</v>
      </c>
      <c r="W47" s="28">
        <v>36.7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504.4</v>
      </c>
      <c r="AG47" s="27">
        <f>B47+C47-AF47</f>
        <v>2164.9</v>
      </c>
    </row>
    <row r="48" spans="1:33" ht="15.75">
      <c r="A48" s="78" t="s">
        <v>5</v>
      </c>
      <c r="B48" s="26">
        <v>39</v>
      </c>
      <c r="C48" s="26">
        <v>20.3</v>
      </c>
      <c r="D48" s="22"/>
      <c r="E48" s="28"/>
      <c r="F48" s="28"/>
      <c r="G48" s="28"/>
      <c r="H48" s="28"/>
      <c r="I48" s="28"/>
      <c r="J48" s="29"/>
      <c r="K48" s="28"/>
      <c r="L48" s="28"/>
      <c r="M48" s="28">
        <v>10.6</v>
      </c>
      <c r="N48" s="28"/>
      <c r="O48" s="31"/>
      <c r="P48" s="28"/>
      <c r="Q48" s="28"/>
      <c r="R48" s="28"/>
      <c r="S48" s="29"/>
      <c r="T48" s="29"/>
      <c r="U48" s="28"/>
      <c r="V48" s="28"/>
      <c r="W48" s="28">
        <v>13.7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24.299999999999997</v>
      </c>
      <c r="AG48" s="27">
        <f>B48+C48-AF48</f>
        <v>35</v>
      </c>
    </row>
    <row r="49" spans="1:33" ht="15.75">
      <c r="A49" s="78" t="s">
        <v>16</v>
      </c>
      <c r="B49" s="26">
        <f>977.1-3.3-438.1</f>
        <v>535.7</v>
      </c>
      <c r="C49" s="26">
        <v>1542.6</v>
      </c>
      <c r="D49" s="22"/>
      <c r="E49" s="22">
        <v>18.4</v>
      </c>
      <c r="F49" s="22">
        <v>137.5</v>
      </c>
      <c r="G49" s="22"/>
      <c r="H49" s="22">
        <v>3.9</v>
      </c>
      <c r="I49" s="22">
        <v>28.8</v>
      </c>
      <c r="J49" s="26">
        <v>6</v>
      </c>
      <c r="K49" s="22">
        <v>4</v>
      </c>
      <c r="L49" s="22"/>
      <c r="M49" s="22">
        <v>42.7</v>
      </c>
      <c r="N49" s="22">
        <v>5</v>
      </c>
      <c r="O49" s="27"/>
      <c r="P49" s="22"/>
      <c r="Q49" s="22"/>
      <c r="R49" s="22">
        <v>57.3</v>
      </c>
      <c r="S49" s="26"/>
      <c r="T49" s="26">
        <v>22.1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325.70000000000005</v>
      </c>
      <c r="AG49" s="27">
        <f>B49+C49-AF49</f>
        <v>1752.6000000000001</v>
      </c>
    </row>
    <row r="50" spans="1:33" ht="30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82" t="s">
        <v>23</v>
      </c>
      <c r="B51" s="26">
        <f aca="true" t="shared" si="11" ref="B51:AD51">B47-B48-B49</f>
        <v>170.5</v>
      </c>
      <c r="C51" s="26">
        <f t="shared" si="11"/>
        <v>361.20000000000005</v>
      </c>
      <c r="D51" s="22">
        <f t="shared" si="11"/>
        <v>-2.4</v>
      </c>
      <c r="E51" s="22">
        <f t="shared" si="11"/>
        <v>0</v>
      </c>
      <c r="F51" s="22">
        <f t="shared" si="11"/>
        <v>9.5</v>
      </c>
      <c r="G51" s="22">
        <f t="shared" si="11"/>
        <v>20.4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35.4</v>
      </c>
      <c r="Q51" s="22">
        <f t="shared" si="11"/>
        <v>9.5</v>
      </c>
      <c r="R51" s="22">
        <f t="shared" si="11"/>
        <v>0</v>
      </c>
      <c r="S51" s="22">
        <f t="shared" si="11"/>
        <v>0</v>
      </c>
      <c r="T51" s="22">
        <f t="shared" si="11"/>
        <v>25.299999999999997</v>
      </c>
      <c r="U51" s="22">
        <f t="shared" si="11"/>
        <v>0</v>
      </c>
      <c r="V51" s="22">
        <f t="shared" si="11"/>
        <v>33.7</v>
      </c>
      <c r="W51" s="22">
        <f t="shared" si="11"/>
        <v>23.000000000000004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154.4</v>
      </c>
      <c r="AG51" s="27">
        <f>AG47-AG49-AG48</f>
        <v>377.29999999999995</v>
      </c>
    </row>
    <row r="52" spans="1:33" ht="15" customHeight="1">
      <c r="A52" s="77" t="s">
        <v>0</v>
      </c>
      <c r="B52" s="26">
        <f>6015.3-826.8+402.5-200-1364</f>
        <v>4027</v>
      </c>
      <c r="C52" s="26">
        <v>1296</v>
      </c>
      <c r="D52" s="22"/>
      <c r="E52" s="22"/>
      <c r="F52" s="22">
        <v>611.1</v>
      </c>
      <c r="G52" s="22">
        <v>76</v>
      </c>
      <c r="H52" s="22">
        <v>136.8</v>
      </c>
      <c r="I52" s="22"/>
      <c r="J52" s="26">
        <v>17.8</v>
      </c>
      <c r="K52" s="22"/>
      <c r="L52" s="22">
        <v>885</v>
      </c>
      <c r="M52" s="22">
        <v>134.1</v>
      </c>
      <c r="N52" s="22">
        <v>614.5</v>
      </c>
      <c r="O52" s="27">
        <v>43.8</v>
      </c>
      <c r="P52" s="22">
        <v>108.9</v>
      </c>
      <c r="Q52" s="22"/>
      <c r="R52" s="22">
        <v>121.6</v>
      </c>
      <c r="S52" s="26"/>
      <c r="T52" s="26"/>
      <c r="U52" s="26">
        <v>41.1</v>
      </c>
      <c r="V52" s="26"/>
      <c r="W52" s="26">
        <v>908.4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3699.1000000000004</v>
      </c>
      <c r="AG52" s="27">
        <f aca="true" t="shared" si="12" ref="AG52:AG59">B52+C52-AF52</f>
        <v>1623.8999999999996</v>
      </c>
    </row>
    <row r="53" spans="1:33" ht="15" customHeight="1">
      <c r="A53" s="78" t="s">
        <v>2</v>
      </c>
      <c r="B53" s="26">
        <f>843.1-100</f>
        <v>743.1</v>
      </c>
      <c r="C53" s="26">
        <v>128.9</v>
      </c>
      <c r="D53" s="22"/>
      <c r="E53" s="22"/>
      <c r="F53" s="22">
        <v>460.8</v>
      </c>
      <c r="G53" s="22">
        <v>17</v>
      </c>
      <c r="H53" s="22">
        <v>3.6</v>
      </c>
      <c r="I53" s="22"/>
      <c r="J53" s="26"/>
      <c r="K53" s="22"/>
      <c r="L53" s="22"/>
      <c r="M53" s="22">
        <v>18.3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499.70000000000005</v>
      </c>
      <c r="AG53" s="27">
        <f t="shared" si="12"/>
        <v>372.29999999999995</v>
      </c>
    </row>
    <row r="54" spans="1:34" ht="15.75">
      <c r="A54" s="77" t="s">
        <v>9</v>
      </c>
      <c r="B54" s="80">
        <f>3562.5+161.2</f>
        <v>3723.7</v>
      </c>
      <c r="C54" s="26">
        <v>2159.5</v>
      </c>
      <c r="D54" s="22"/>
      <c r="E54" s="22"/>
      <c r="F54" s="22">
        <v>8.8</v>
      </c>
      <c r="G54" s="22">
        <v>6.3</v>
      </c>
      <c r="H54" s="22"/>
      <c r="I54" s="22">
        <v>87.6</v>
      </c>
      <c r="J54" s="26">
        <v>31.5</v>
      </c>
      <c r="K54" s="22"/>
      <c r="L54" s="22"/>
      <c r="M54" s="22">
        <v>495.7</v>
      </c>
      <c r="N54" s="22"/>
      <c r="O54" s="27"/>
      <c r="P54" s="22">
        <v>109.8</v>
      </c>
      <c r="Q54" s="27">
        <v>97.7</v>
      </c>
      <c r="R54" s="22"/>
      <c r="S54" s="26"/>
      <c r="T54" s="26">
        <v>77.7</v>
      </c>
      <c r="U54" s="26"/>
      <c r="V54" s="26">
        <v>1690.8</v>
      </c>
      <c r="W54" s="26">
        <v>154.2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2760.1</v>
      </c>
      <c r="AG54" s="22">
        <f t="shared" si="12"/>
        <v>3123.1</v>
      </c>
      <c r="AH54" s="6"/>
    </row>
    <row r="55" spans="1:34" ht="15.75">
      <c r="A55" s="78" t="s">
        <v>5</v>
      </c>
      <c r="B55" s="26">
        <f>2923.8+33.5+122.1</f>
        <v>3079.4</v>
      </c>
      <c r="C55" s="26">
        <v>1394</v>
      </c>
      <c r="D55" s="22"/>
      <c r="E55" s="22"/>
      <c r="F55" s="22">
        <v>8.8</v>
      </c>
      <c r="G55" s="22"/>
      <c r="H55" s="22"/>
      <c r="I55" s="22">
        <v>87.6</v>
      </c>
      <c r="J55" s="26"/>
      <c r="K55" s="22"/>
      <c r="L55" s="22"/>
      <c r="M55" s="22">
        <v>495.7</v>
      </c>
      <c r="N55" s="22"/>
      <c r="O55" s="27"/>
      <c r="P55" s="22"/>
      <c r="Q55" s="27"/>
      <c r="R55" s="22"/>
      <c r="S55" s="26"/>
      <c r="T55" s="26"/>
      <c r="U55" s="26"/>
      <c r="V55" s="26">
        <v>1689.4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2281.5</v>
      </c>
      <c r="AG55" s="22">
        <f t="shared" si="12"/>
        <v>2191.8999999999996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78" t="s">
        <v>2</v>
      </c>
      <c r="B57" s="25">
        <f>30.7+39.1</f>
        <v>69.8</v>
      </c>
      <c r="C57" s="26">
        <v>92.3</v>
      </c>
      <c r="D57" s="22"/>
      <c r="E57" s="22"/>
      <c r="F57" s="22"/>
      <c r="G57" s="22"/>
      <c r="H57" s="22"/>
      <c r="I57" s="22"/>
      <c r="J57" s="26">
        <v>3.2</v>
      </c>
      <c r="K57" s="22"/>
      <c r="L57" s="22"/>
      <c r="M57" s="22"/>
      <c r="N57" s="22"/>
      <c r="O57" s="27"/>
      <c r="P57" s="22"/>
      <c r="Q57" s="27"/>
      <c r="R57" s="22"/>
      <c r="S57" s="26"/>
      <c r="T57" s="26">
        <v>3.8</v>
      </c>
      <c r="U57" s="26"/>
      <c r="V57" s="26"/>
      <c r="W57" s="26">
        <v>10.2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17.2</v>
      </c>
      <c r="AG57" s="22">
        <f t="shared" si="12"/>
        <v>144.9</v>
      </c>
    </row>
    <row r="58" spans="1:33" ht="15.7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78" t="s">
        <v>23</v>
      </c>
      <c r="B60" s="26">
        <f aca="true" t="shared" si="13" ref="B60:AD60">B54-B55-B57-B59-B56-B58</f>
        <v>574.4999999999998</v>
      </c>
      <c r="C60" s="26">
        <f t="shared" si="13"/>
        <v>673.2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6.3</v>
      </c>
      <c r="H60" s="22">
        <f t="shared" si="13"/>
        <v>0</v>
      </c>
      <c r="I60" s="22">
        <f t="shared" si="13"/>
        <v>0</v>
      </c>
      <c r="J60" s="22">
        <f t="shared" si="13"/>
        <v>28.3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109.8</v>
      </c>
      <c r="Q60" s="22">
        <f t="shared" si="13"/>
        <v>97.7</v>
      </c>
      <c r="R60" s="22">
        <f t="shared" si="13"/>
        <v>0</v>
      </c>
      <c r="S60" s="22">
        <f t="shared" si="13"/>
        <v>0</v>
      </c>
      <c r="T60" s="22">
        <f t="shared" si="13"/>
        <v>73.9</v>
      </c>
      <c r="U60" s="22">
        <f t="shared" si="13"/>
        <v>0</v>
      </c>
      <c r="V60" s="22">
        <f t="shared" si="13"/>
        <v>1.3999999999998636</v>
      </c>
      <c r="W60" s="22">
        <f t="shared" si="13"/>
        <v>144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461.3999999999999</v>
      </c>
      <c r="AG60" s="22">
        <f>AG54-AG55-AG57-AG59-AG56-AG58</f>
        <v>786.3000000000003</v>
      </c>
    </row>
    <row r="61" spans="1:33" ht="15" customHeight="1">
      <c r="A61" s="77" t="s">
        <v>10</v>
      </c>
      <c r="B61" s="26">
        <f>103.1+3.3</f>
        <v>106.39999999999999</v>
      </c>
      <c r="C61" s="26">
        <v>594.7</v>
      </c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701.1</v>
      </c>
    </row>
    <row r="62" spans="1:33" ht="15" customHeight="1">
      <c r="A62" s="77" t="s">
        <v>11</v>
      </c>
      <c r="B62" s="26">
        <v>977.6</v>
      </c>
      <c r="C62" s="26">
        <v>847.5</v>
      </c>
      <c r="D62" s="22"/>
      <c r="E62" s="22"/>
      <c r="F62" s="22"/>
      <c r="G62" s="22">
        <v>5.8</v>
      </c>
      <c r="H62" s="22"/>
      <c r="I62" s="22">
        <v>4.2</v>
      </c>
      <c r="J62" s="26"/>
      <c r="K62" s="22"/>
      <c r="L62" s="22">
        <v>48.4</v>
      </c>
      <c r="M62" s="22">
        <v>226.6</v>
      </c>
      <c r="N62" s="22"/>
      <c r="O62" s="27"/>
      <c r="P62" s="22">
        <v>201.1</v>
      </c>
      <c r="Q62" s="27"/>
      <c r="R62" s="22">
        <v>19.7</v>
      </c>
      <c r="S62" s="26"/>
      <c r="T62" s="26">
        <v>19.1</v>
      </c>
      <c r="U62" s="26"/>
      <c r="V62" s="26">
        <v>545.9</v>
      </c>
      <c r="W62" s="26">
        <v>134.5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1205.3</v>
      </c>
      <c r="AG62" s="22">
        <f t="shared" si="15"/>
        <v>619.8</v>
      </c>
    </row>
    <row r="63" spans="1:34" ht="15.75">
      <c r="A63" s="78" t="s">
        <v>5</v>
      </c>
      <c r="B63" s="26">
        <f>599.8-65.2</f>
        <v>534.5999999999999</v>
      </c>
      <c r="C63" s="26">
        <v>387.9</v>
      </c>
      <c r="D63" s="22"/>
      <c r="E63" s="22"/>
      <c r="F63" s="22"/>
      <c r="G63" s="22">
        <v>5.8</v>
      </c>
      <c r="H63" s="22"/>
      <c r="I63" s="22"/>
      <c r="J63" s="26"/>
      <c r="K63" s="22"/>
      <c r="L63" s="22"/>
      <c r="M63" s="22">
        <v>226.6</v>
      </c>
      <c r="N63" s="22"/>
      <c r="O63" s="27"/>
      <c r="P63" s="22"/>
      <c r="Q63" s="27"/>
      <c r="R63" s="22"/>
      <c r="S63" s="26"/>
      <c r="T63" s="26"/>
      <c r="U63" s="26"/>
      <c r="V63" s="26">
        <v>536.1</v>
      </c>
      <c r="W63" s="26">
        <v>2.1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770.6</v>
      </c>
      <c r="AG63" s="22">
        <f t="shared" si="15"/>
        <v>151.89999999999986</v>
      </c>
      <c r="AH63" s="64"/>
    </row>
    <row r="64" spans="1:34" ht="15.75" hidden="1">
      <c r="A64" s="78" t="s">
        <v>3</v>
      </c>
      <c r="B64" s="26"/>
      <c r="C64" s="26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78" t="s">
        <v>1</v>
      </c>
      <c r="B65" s="26">
        <v>60.4</v>
      </c>
      <c r="C65" s="26">
        <v>119.3</v>
      </c>
      <c r="D65" s="22"/>
      <c r="E65" s="22"/>
      <c r="F65" s="22"/>
      <c r="G65" s="22"/>
      <c r="H65" s="22"/>
      <c r="I65" s="22"/>
      <c r="J65" s="26"/>
      <c r="K65" s="22"/>
      <c r="L65" s="22">
        <v>38.9</v>
      </c>
      <c r="M65" s="22"/>
      <c r="N65" s="22"/>
      <c r="O65" s="27"/>
      <c r="P65" s="22"/>
      <c r="Q65" s="27"/>
      <c r="R65" s="22">
        <v>5.3</v>
      </c>
      <c r="S65" s="26"/>
      <c r="T65" s="26"/>
      <c r="U65" s="26"/>
      <c r="V65" s="26">
        <v>2.8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46.99999999999999</v>
      </c>
      <c r="AG65" s="22">
        <f t="shared" si="15"/>
        <v>132.7</v>
      </c>
      <c r="AH65" s="6"/>
    </row>
    <row r="66" spans="1:33" ht="15.75">
      <c r="A66" s="78" t="s">
        <v>2</v>
      </c>
      <c r="B66" s="26">
        <v>12.2</v>
      </c>
      <c r="C66" s="26">
        <v>79.6</v>
      </c>
      <c r="D66" s="22"/>
      <c r="E66" s="22"/>
      <c r="F66" s="22"/>
      <c r="G66" s="22"/>
      <c r="H66" s="22"/>
      <c r="I66" s="22">
        <v>1.4</v>
      </c>
      <c r="J66" s="26"/>
      <c r="K66" s="22"/>
      <c r="L66" s="22">
        <v>0.2</v>
      </c>
      <c r="M66" s="22"/>
      <c r="N66" s="22"/>
      <c r="O66" s="27"/>
      <c r="P66" s="22">
        <v>0.3</v>
      </c>
      <c r="Q66" s="22"/>
      <c r="R66" s="22"/>
      <c r="S66" s="26"/>
      <c r="T66" s="26">
        <v>0.2</v>
      </c>
      <c r="U66" s="26"/>
      <c r="V66" s="26">
        <v>0.6</v>
      </c>
      <c r="W66" s="26">
        <v>0.1</v>
      </c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2.8000000000000003</v>
      </c>
      <c r="AG66" s="22">
        <f t="shared" si="15"/>
        <v>89</v>
      </c>
    </row>
    <row r="67" spans="1:33" ht="15.75">
      <c r="A67" s="78" t="s">
        <v>16</v>
      </c>
      <c r="B67" s="26">
        <v>43.2</v>
      </c>
      <c r="C67" s="26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>
        <v>40</v>
      </c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.75">
      <c r="A68" s="78" t="s">
        <v>23</v>
      </c>
      <c r="B68" s="26">
        <f aca="true" t="shared" si="16" ref="B68:AD68">B62-B63-B66-B67-B65-B64</f>
        <v>327.20000000000016</v>
      </c>
      <c r="C68" s="26">
        <f t="shared" si="16"/>
        <v>254.2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2.8000000000000003</v>
      </c>
      <c r="J68" s="22">
        <f t="shared" si="16"/>
        <v>0</v>
      </c>
      <c r="K68" s="22">
        <f t="shared" si="16"/>
        <v>0</v>
      </c>
      <c r="L68" s="22">
        <f t="shared" si="16"/>
        <v>9.299999999999997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160.79999999999998</v>
      </c>
      <c r="Q68" s="22">
        <f t="shared" si="16"/>
        <v>0</v>
      </c>
      <c r="R68" s="22">
        <f t="shared" si="16"/>
        <v>14.399999999999999</v>
      </c>
      <c r="S68" s="22">
        <f t="shared" si="16"/>
        <v>0</v>
      </c>
      <c r="T68" s="22">
        <f t="shared" si="16"/>
        <v>18.900000000000002</v>
      </c>
      <c r="U68" s="22">
        <f t="shared" si="16"/>
        <v>0</v>
      </c>
      <c r="V68" s="22">
        <f t="shared" si="16"/>
        <v>6.399999999999955</v>
      </c>
      <c r="W68" s="22">
        <f t="shared" si="16"/>
        <v>132.3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344.9</v>
      </c>
      <c r="AG68" s="22">
        <f>AG62-AG63-AG66-AG67-AG65-AG64</f>
        <v>236.5000000000001</v>
      </c>
    </row>
    <row r="69" spans="1:33" ht="31.5">
      <c r="A69" s="77" t="s">
        <v>46</v>
      </c>
      <c r="B69" s="26">
        <v>3233</v>
      </c>
      <c r="C69" s="26">
        <v>87.5</v>
      </c>
      <c r="D69" s="22"/>
      <c r="E69" s="22"/>
      <c r="F69" s="22"/>
      <c r="G69" s="22"/>
      <c r="H69" s="22"/>
      <c r="I69" s="22"/>
      <c r="J69" s="26"/>
      <c r="K69" s="22"/>
      <c r="L69" s="22"/>
      <c r="M69" s="22">
        <v>1822.5</v>
      </c>
      <c r="N69" s="22"/>
      <c r="O69" s="22"/>
      <c r="P69" s="22"/>
      <c r="Q69" s="22"/>
      <c r="R69" s="22"/>
      <c r="S69" s="26"/>
      <c r="T69" s="26"/>
      <c r="U69" s="22">
        <v>1392</v>
      </c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3214.5</v>
      </c>
      <c r="AG69" s="30">
        <f aca="true" t="shared" si="17" ref="AG69:AG92">B69+C69-AF69</f>
        <v>106</v>
      </c>
    </row>
    <row r="70" spans="1:33" ht="15.7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77" t="s">
        <v>47</v>
      </c>
      <c r="B71" s="26">
        <v>825</v>
      </c>
      <c r="C71" s="29">
        <v>150.9</v>
      </c>
      <c r="D71" s="28"/>
      <c r="E71" s="28"/>
      <c r="F71" s="28"/>
      <c r="G71" s="28"/>
      <c r="H71" s="28"/>
      <c r="I71" s="28"/>
      <c r="J71" s="29"/>
      <c r="K71" s="28"/>
      <c r="L71" s="28"/>
      <c r="M71" s="28">
        <v>626.9</v>
      </c>
      <c r="N71" s="28"/>
      <c r="O71" s="28"/>
      <c r="P71" s="28">
        <v>12.3</v>
      </c>
      <c r="Q71" s="31"/>
      <c r="R71" s="28">
        <v>30.7</v>
      </c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669.9</v>
      </c>
      <c r="AG71" s="30">
        <f t="shared" si="17"/>
        <v>306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744.1+926.2+77.9+0.7</f>
        <v>1748.9000000000003</v>
      </c>
      <c r="C72" s="22">
        <v>4325.7</v>
      </c>
      <c r="D72" s="22"/>
      <c r="E72" s="22">
        <v>140</v>
      </c>
      <c r="F72" s="22">
        <v>2.5</v>
      </c>
      <c r="G72" s="22">
        <v>6</v>
      </c>
      <c r="H72" s="22">
        <v>0.9</v>
      </c>
      <c r="I72" s="22">
        <v>1.1</v>
      </c>
      <c r="J72" s="26">
        <v>3.7</v>
      </c>
      <c r="K72" s="22"/>
      <c r="L72" s="22">
        <v>15.5</v>
      </c>
      <c r="M72" s="22">
        <v>39.5</v>
      </c>
      <c r="N72" s="22">
        <v>9.4</v>
      </c>
      <c r="O72" s="22">
        <f>2.2+25.9+2</f>
        <v>30.099999999999998</v>
      </c>
      <c r="P72" s="22">
        <v>11.9</v>
      </c>
      <c r="Q72" s="27">
        <v>3.5</v>
      </c>
      <c r="R72" s="22"/>
      <c r="S72" s="26">
        <v>0.3</v>
      </c>
      <c r="T72" s="26">
        <v>926.2</v>
      </c>
      <c r="U72" s="26">
        <v>8.5</v>
      </c>
      <c r="V72" s="26">
        <v>185.1</v>
      </c>
      <c r="W72" s="26">
        <v>24.3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1408.4999999999998</v>
      </c>
      <c r="AG72" s="30">
        <f t="shared" si="17"/>
        <v>4666.1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100.8</v>
      </c>
      <c r="C74" s="22">
        <v>1007.5</v>
      </c>
      <c r="D74" s="22"/>
      <c r="E74" s="22">
        <v>49.1</v>
      </c>
      <c r="F74" s="22"/>
      <c r="G74" s="22"/>
      <c r="H74" s="22"/>
      <c r="I74" s="22">
        <v>0.3</v>
      </c>
      <c r="J74" s="26"/>
      <c r="K74" s="22"/>
      <c r="L74" s="22"/>
      <c r="M74" s="22"/>
      <c r="N74" s="22"/>
      <c r="O74" s="22">
        <v>25.4</v>
      </c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74.8</v>
      </c>
      <c r="AG74" s="30">
        <f t="shared" si="17"/>
        <v>1033.5</v>
      </c>
    </row>
    <row r="75" spans="1:33" ht="15" customHeight="1">
      <c r="A75" s="3" t="s">
        <v>16</v>
      </c>
      <c r="B75" s="22">
        <v>56.8</v>
      </c>
      <c r="C75" s="22">
        <v>284.2</v>
      </c>
      <c r="D75" s="22"/>
      <c r="E75" s="22"/>
      <c r="F75" s="22"/>
      <c r="G75" s="22">
        <v>4</v>
      </c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>
        <v>6.4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10.4</v>
      </c>
      <c r="AG75" s="30">
        <f t="shared" si="17"/>
        <v>330.6</v>
      </c>
    </row>
    <row r="76" spans="1:33" s="11" customFormat="1" ht="15.75">
      <c r="A76" s="12" t="s">
        <v>49</v>
      </c>
      <c r="B76" s="22">
        <f>227.8+80-160+0.2</f>
        <v>148</v>
      </c>
      <c r="C76" s="22">
        <v>128.2</v>
      </c>
      <c r="D76" s="22"/>
      <c r="E76" s="28"/>
      <c r="F76" s="28"/>
      <c r="G76" s="28"/>
      <c r="H76" s="28"/>
      <c r="I76" s="28"/>
      <c r="J76" s="29"/>
      <c r="K76" s="28"/>
      <c r="L76" s="28">
        <v>79.4</v>
      </c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>
        <v>74.3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153.7</v>
      </c>
      <c r="AG76" s="30">
        <f t="shared" si="17"/>
        <v>122.5</v>
      </c>
    </row>
    <row r="77" spans="1:33" s="11" customFormat="1" ht="15.75">
      <c r="A77" s="3" t="s">
        <v>5</v>
      </c>
      <c r="B77" s="22">
        <v>121.2</v>
      </c>
      <c r="C77" s="22">
        <v>2</v>
      </c>
      <c r="D77" s="22"/>
      <c r="E77" s="28"/>
      <c r="F77" s="28"/>
      <c r="G77" s="28"/>
      <c r="H77" s="28"/>
      <c r="I77" s="28"/>
      <c r="J77" s="29"/>
      <c r="K77" s="28"/>
      <c r="L77" s="28">
        <v>42.3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>
        <v>73.9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116.2</v>
      </c>
      <c r="AG77" s="30">
        <f t="shared" si="17"/>
        <v>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0.4</v>
      </c>
      <c r="C80" s="22">
        <v>6</v>
      </c>
      <c r="D80" s="22"/>
      <c r="E80" s="28"/>
      <c r="F80" s="28"/>
      <c r="G80" s="28"/>
      <c r="H80" s="28"/>
      <c r="I80" s="28"/>
      <c r="J80" s="29"/>
      <c r="K80" s="28"/>
      <c r="L80" s="28">
        <v>0.3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0.2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0.5</v>
      </c>
      <c r="AG80" s="30">
        <f t="shared" si="17"/>
        <v>5.9</v>
      </c>
    </row>
    <row r="81" spans="1:35" s="11" customFormat="1" ht="15.7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/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64</v>
      </c>
      <c r="B83" s="28">
        <v>180</v>
      </c>
      <c r="C83" s="28">
        <v>1152.5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v>174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174</v>
      </c>
      <c r="AG83" s="22">
        <f t="shared" si="17"/>
        <v>1158.5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77" t="s">
        <v>51</v>
      </c>
      <c r="B89" s="26">
        <f>5519+200</f>
        <v>5719</v>
      </c>
      <c r="C89" s="26">
        <v>2131.4</v>
      </c>
      <c r="D89" s="22">
        <v>306.6</v>
      </c>
      <c r="E89" s="22"/>
      <c r="F89" s="22">
        <v>354</v>
      </c>
      <c r="G89" s="22"/>
      <c r="H89" s="22"/>
      <c r="I89" s="22"/>
      <c r="J89" s="22">
        <v>37.5</v>
      </c>
      <c r="K89" s="22">
        <v>2529.5</v>
      </c>
      <c r="L89" s="22"/>
      <c r="M89" s="22">
        <v>310.1</v>
      </c>
      <c r="N89" s="22"/>
      <c r="O89" s="22">
        <v>1394.5</v>
      </c>
      <c r="P89" s="22"/>
      <c r="Q89" s="22"/>
      <c r="R89" s="22"/>
      <c r="S89" s="26"/>
      <c r="T89" s="26"/>
      <c r="U89" s="22"/>
      <c r="V89" s="22"/>
      <c r="W89" s="22">
        <v>1049.5</v>
      </c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5981.7</v>
      </c>
      <c r="AG89" s="22">
        <f t="shared" si="17"/>
        <v>1868.6999999999998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/>
      <c r="R90" s="22">
        <v>819</v>
      </c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.75">
      <c r="A92" s="4" t="s">
        <v>37</v>
      </c>
      <c r="B92" s="22">
        <f>63734.1+2205.2-402.5-121.3+1364.1+204.9</f>
        <v>66984.5</v>
      </c>
      <c r="C92" s="22">
        <v>20126.7</v>
      </c>
      <c r="D92" s="22">
        <v>5806.9</v>
      </c>
      <c r="E92" s="22">
        <v>3524</v>
      </c>
      <c r="F92" s="22">
        <v>1955.7</v>
      </c>
      <c r="G92" s="22">
        <v>2441.8</v>
      </c>
      <c r="H92" s="22">
        <v>6692.3</v>
      </c>
      <c r="I92" s="22">
        <v>9547.9</v>
      </c>
      <c r="J92" s="22">
        <v>4208</v>
      </c>
      <c r="K92" s="22">
        <v>149</v>
      </c>
      <c r="L92" s="22"/>
      <c r="M92" s="22"/>
      <c r="N92" s="22">
        <v>2341.5</v>
      </c>
      <c r="O92" s="22">
        <v>6647.9</v>
      </c>
      <c r="P92" s="22">
        <v>6100.5</v>
      </c>
      <c r="Q92" s="22">
        <v>5342</v>
      </c>
      <c r="R92" s="22">
        <v>5745.9</v>
      </c>
      <c r="S92" s="26">
        <v>2276.6</v>
      </c>
      <c r="T92" s="26">
        <v>3584</v>
      </c>
      <c r="U92" s="22">
        <v>3904</v>
      </c>
      <c r="V92" s="22"/>
      <c r="W92" s="22">
        <v>204.9</v>
      </c>
      <c r="X92" s="26">
        <v>2251.7</v>
      </c>
      <c r="Y92" s="26">
        <v>8852.6</v>
      </c>
      <c r="Z92" s="26"/>
      <c r="AA92" s="26"/>
      <c r="AB92" s="22"/>
      <c r="AC92" s="22"/>
      <c r="AD92" s="22"/>
      <c r="AE92" s="22"/>
      <c r="AF92" s="27">
        <f t="shared" si="14"/>
        <v>81577.2</v>
      </c>
      <c r="AG92" s="22">
        <f t="shared" si="17"/>
        <v>5534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158508</v>
      </c>
      <c r="C94" s="42">
        <f t="shared" si="18"/>
        <v>119168.29999999997</v>
      </c>
      <c r="D94" s="42">
        <f t="shared" si="18"/>
        <v>6459.099999999999</v>
      </c>
      <c r="E94" s="42">
        <f t="shared" si="18"/>
        <v>3817.8</v>
      </c>
      <c r="F94" s="42">
        <f t="shared" si="18"/>
        <v>3121.1000000000004</v>
      </c>
      <c r="G94" s="42">
        <f t="shared" si="18"/>
        <v>3006.9</v>
      </c>
      <c r="H94" s="42">
        <f t="shared" si="18"/>
        <v>7885.3</v>
      </c>
      <c r="I94" s="42">
        <f t="shared" si="18"/>
        <v>9909.699999999999</v>
      </c>
      <c r="J94" s="42">
        <f t="shared" si="18"/>
        <v>4691.7</v>
      </c>
      <c r="K94" s="42">
        <f t="shared" si="18"/>
        <v>5290.099999999999</v>
      </c>
      <c r="L94" s="42">
        <f t="shared" si="18"/>
        <v>16103.5</v>
      </c>
      <c r="M94" s="42">
        <f t="shared" si="18"/>
        <v>15317</v>
      </c>
      <c r="N94" s="42">
        <f t="shared" si="18"/>
        <v>3269.8</v>
      </c>
      <c r="O94" s="42">
        <f t="shared" si="18"/>
        <v>8421.1</v>
      </c>
      <c r="P94" s="42">
        <f t="shared" si="18"/>
        <v>6923.8</v>
      </c>
      <c r="Q94" s="42">
        <f t="shared" si="18"/>
        <v>6909.9</v>
      </c>
      <c r="R94" s="42">
        <f t="shared" si="18"/>
        <v>6975.099999999999</v>
      </c>
      <c r="S94" s="42">
        <f t="shared" si="18"/>
        <v>2292.6</v>
      </c>
      <c r="T94" s="42">
        <f t="shared" si="18"/>
        <v>5059.2</v>
      </c>
      <c r="U94" s="42">
        <f t="shared" si="18"/>
        <v>5584.4</v>
      </c>
      <c r="V94" s="42">
        <f t="shared" si="18"/>
        <v>24442.5</v>
      </c>
      <c r="W94" s="42">
        <f t="shared" si="18"/>
        <v>20617.4</v>
      </c>
      <c r="X94" s="42">
        <f t="shared" si="18"/>
        <v>5224.7</v>
      </c>
      <c r="Y94" s="42">
        <f t="shared" si="18"/>
        <v>9672.4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180995.09999999998</v>
      </c>
      <c r="AG94" s="58">
        <f>AG10+AG15+AG24+AG33+AG47+AG52+AG54+AG61+AG62+AG69+AG71+AG72+AG76+AG81+AG82+AG83+AG88+AG89+AG90+AG91+AG70+AG40+AG92</f>
        <v>96681.19999999998</v>
      </c>
    </row>
    <row r="95" spans="1:33" ht="15.75">
      <c r="A95" s="3" t="s">
        <v>5</v>
      </c>
      <c r="B95" s="22">
        <f aca="true" t="shared" si="19" ref="B95:AD95">B11+B17+B26+B34+B55+B63+B73+B41+B77+B48</f>
        <v>35804.1</v>
      </c>
      <c r="C95" s="22">
        <f t="shared" si="19"/>
        <v>50166.8</v>
      </c>
      <c r="D95" s="22">
        <f t="shared" si="19"/>
        <v>336.3</v>
      </c>
      <c r="E95" s="22">
        <f t="shared" si="19"/>
        <v>131</v>
      </c>
      <c r="F95" s="22">
        <f t="shared" si="19"/>
        <v>8.8</v>
      </c>
      <c r="G95" s="22">
        <f t="shared" si="19"/>
        <v>56.9</v>
      </c>
      <c r="H95" s="22">
        <f t="shared" si="19"/>
        <v>240.9</v>
      </c>
      <c r="I95" s="22">
        <f t="shared" si="19"/>
        <v>87.6</v>
      </c>
      <c r="J95" s="22">
        <f t="shared" si="19"/>
        <v>202.9</v>
      </c>
      <c r="K95" s="22">
        <f t="shared" si="19"/>
        <v>972.5999999999999</v>
      </c>
      <c r="L95" s="22">
        <f t="shared" si="19"/>
        <v>3140.7000000000003</v>
      </c>
      <c r="M95" s="22">
        <f t="shared" si="19"/>
        <v>11166.800000000003</v>
      </c>
      <c r="N95" s="22">
        <f t="shared" si="19"/>
        <v>141.7</v>
      </c>
      <c r="O95" s="22">
        <f t="shared" si="19"/>
        <v>0</v>
      </c>
      <c r="P95" s="22">
        <f t="shared" si="19"/>
        <v>0</v>
      </c>
      <c r="Q95" s="22">
        <f t="shared" si="19"/>
        <v>90.7</v>
      </c>
      <c r="R95" s="22">
        <f t="shared" si="19"/>
        <v>0</v>
      </c>
      <c r="S95" s="22">
        <f t="shared" si="19"/>
        <v>0</v>
      </c>
      <c r="T95" s="22">
        <f t="shared" si="19"/>
        <v>183</v>
      </c>
      <c r="U95" s="22">
        <f t="shared" si="19"/>
        <v>0</v>
      </c>
      <c r="V95" s="22">
        <f t="shared" si="19"/>
        <v>22209.000000000004</v>
      </c>
      <c r="W95" s="22">
        <f t="shared" si="19"/>
        <v>4536.4</v>
      </c>
      <c r="X95" s="22">
        <f t="shared" si="19"/>
        <v>2457.5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45962.80000000001</v>
      </c>
      <c r="AG95" s="27">
        <f>B95+C95-AF95</f>
        <v>40008.099999999984</v>
      </c>
    </row>
    <row r="96" spans="1:33" ht="15.75">
      <c r="A96" s="3" t="s">
        <v>2</v>
      </c>
      <c r="B96" s="22">
        <f aca="true" t="shared" si="20" ref="B96:AD96">B12+B20+B29+B36+B57+B66+B44+B80+B74+B53</f>
        <v>1628.6999999999998</v>
      </c>
      <c r="C96" s="22">
        <f t="shared" si="20"/>
        <v>8639.4</v>
      </c>
      <c r="D96" s="22">
        <f t="shared" si="20"/>
        <v>0</v>
      </c>
      <c r="E96" s="22">
        <f t="shared" si="20"/>
        <v>49.1</v>
      </c>
      <c r="F96" s="22">
        <f t="shared" si="20"/>
        <v>460.8</v>
      </c>
      <c r="G96" s="22">
        <f t="shared" si="20"/>
        <v>31.5</v>
      </c>
      <c r="H96" s="22">
        <f t="shared" si="20"/>
        <v>26.900000000000002</v>
      </c>
      <c r="I96" s="22">
        <f t="shared" si="20"/>
        <v>6.3</v>
      </c>
      <c r="J96" s="22">
        <f t="shared" si="20"/>
        <v>3.2</v>
      </c>
      <c r="K96" s="22">
        <f t="shared" si="20"/>
        <v>11.9</v>
      </c>
      <c r="L96" s="22">
        <f t="shared" si="20"/>
        <v>165.29999999999998</v>
      </c>
      <c r="M96" s="22">
        <f t="shared" si="20"/>
        <v>25.5</v>
      </c>
      <c r="N96" s="22">
        <f t="shared" si="20"/>
        <v>0</v>
      </c>
      <c r="O96" s="22">
        <f t="shared" si="20"/>
        <v>26.099999999999998</v>
      </c>
      <c r="P96" s="22">
        <f t="shared" si="20"/>
        <v>2.3</v>
      </c>
      <c r="Q96" s="22">
        <f t="shared" si="20"/>
        <v>89.89999999999999</v>
      </c>
      <c r="R96" s="22">
        <f t="shared" si="20"/>
        <v>9.9</v>
      </c>
      <c r="S96" s="22">
        <f t="shared" si="20"/>
        <v>0</v>
      </c>
      <c r="T96" s="22">
        <f t="shared" si="20"/>
        <v>27.1</v>
      </c>
      <c r="U96" s="22">
        <f t="shared" si="20"/>
        <v>30.4</v>
      </c>
      <c r="V96" s="22">
        <f t="shared" si="20"/>
        <v>399.80000000000007</v>
      </c>
      <c r="W96" s="22">
        <f t="shared" si="20"/>
        <v>10.499999999999998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1376.5</v>
      </c>
      <c r="AG96" s="27">
        <f>B96+C96-AF96</f>
        <v>8891.599999999999</v>
      </c>
    </row>
    <row r="97" spans="1:33" ht="15.75">
      <c r="A97" s="3" t="s">
        <v>3</v>
      </c>
      <c r="B97" s="22">
        <f aca="true" t="shared" si="21" ref="B97:AA97">B18+B27+B42+B64+B78</f>
        <v>1</v>
      </c>
      <c r="C97" s="22">
        <f t="shared" si="21"/>
        <v>28.8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0.8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0.8</v>
      </c>
      <c r="AG97" s="27">
        <f>B97+C97-AF97</f>
        <v>29</v>
      </c>
    </row>
    <row r="98" spans="1:33" ht="15.75">
      <c r="A98" s="3" t="s">
        <v>1</v>
      </c>
      <c r="B98" s="22">
        <f aca="true" t="shared" si="22" ref="B98:AD98">B19+B28+B65+B35+B43+B56+B79</f>
        <v>1155.7</v>
      </c>
      <c r="C98" s="22">
        <f t="shared" si="22"/>
        <v>1054.6999999999998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183.6</v>
      </c>
      <c r="H98" s="22">
        <f t="shared" si="22"/>
        <v>0</v>
      </c>
      <c r="I98" s="22">
        <f t="shared" si="22"/>
        <v>180.39999999999998</v>
      </c>
      <c r="J98" s="22">
        <f t="shared" si="22"/>
        <v>0</v>
      </c>
      <c r="K98" s="22">
        <f t="shared" si="22"/>
        <v>0</v>
      </c>
      <c r="L98" s="22">
        <f t="shared" si="22"/>
        <v>252.1</v>
      </c>
      <c r="M98" s="22">
        <f t="shared" si="22"/>
        <v>110.8</v>
      </c>
      <c r="N98" s="22">
        <f t="shared" si="22"/>
        <v>44.7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76.8</v>
      </c>
      <c r="S98" s="22">
        <f t="shared" si="22"/>
        <v>0</v>
      </c>
      <c r="T98" s="22">
        <f t="shared" si="22"/>
        <v>132.4</v>
      </c>
      <c r="U98" s="22">
        <f t="shared" si="22"/>
        <v>0</v>
      </c>
      <c r="V98" s="22">
        <f t="shared" si="22"/>
        <v>2.8</v>
      </c>
      <c r="W98" s="22">
        <f t="shared" si="22"/>
        <v>7.7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991.3</v>
      </c>
      <c r="AG98" s="27">
        <f>B98+C98-AF98</f>
        <v>1219.0999999999997</v>
      </c>
    </row>
    <row r="99" spans="1:33" ht="15.75">
      <c r="A99" s="3" t="s">
        <v>16</v>
      </c>
      <c r="B99" s="22">
        <f aca="true" t="shared" si="23" ref="B99:X99">B21+B30+B49+B37+B58+B13+B75+B67</f>
        <v>1553.9</v>
      </c>
      <c r="C99" s="22">
        <f t="shared" si="23"/>
        <v>2256.7999999999997</v>
      </c>
      <c r="D99" s="22">
        <f t="shared" si="23"/>
        <v>0</v>
      </c>
      <c r="E99" s="22">
        <f t="shared" si="23"/>
        <v>18.4</v>
      </c>
      <c r="F99" s="22">
        <f t="shared" si="23"/>
        <v>137.5</v>
      </c>
      <c r="G99" s="22">
        <f t="shared" si="23"/>
        <v>5.2</v>
      </c>
      <c r="H99" s="22">
        <f t="shared" si="23"/>
        <v>3.9</v>
      </c>
      <c r="I99" s="22">
        <f t="shared" si="23"/>
        <v>28.8</v>
      </c>
      <c r="J99" s="22">
        <f t="shared" si="23"/>
        <v>6</v>
      </c>
      <c r="K99" s="22">
        <f t="shared" si="23"/>
        <v>4</v>
      </c>
      <c r="L99" s="22">
        <f t="shared" si="23"/>
        <v>5.4</v>
      </c>
      <c r="M99" s="22">
        <f t="shared" si="23"/>
        <v>619.8000000000001</v>
      </c>
      <c r="N99" s="22">
        <f t="shared" si="23"/>
        <v>5</v>
      </c>
      <c r="O99" s="22">
        <f t="shared" si="23"/>
        <v>0</v>
      </c>
      <c r="P99" s="22">
        <f t="shared" si="23"/>
        <v>153.5</v>
      </c>
      <c r="Q99" s="22">
        <f t="shared" si="23"/>
        <v>0</v>
      </c>
      <c r="R99" s="22">
        <f t="shared" si="23"/>
        <v>57.3</v>
      </c>
      <c r="S99" s="22">
        <f t="shared" si="23"/>
        <v>0</v>
      </c>
      <c r="T99" s="22">
        <f t="shared" si="23"/>
        <v>72.6</v>
      </c>
      <c r="U99" s="22">
        <f t="shared" si="23"/>
        <v>20.2</v>
      </c>
      <c r="V99" s="22">
        <f t="shared" si="23"/>
        <v>0</v>
      </c>
      <c r="W99" s="22">
        <f t="shared" si="23"/>
        <v>6.4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1144.0000000000002</v>
      </c>
      <c r="AG99" s="27">
        <f>B99+C99-AF99</f>
        <v>2666.7</v>
      </c>
    </row>
    <row r="100" spans="1:33" ht="12.75">
      <c r="A100" s="1" t="s">
        <v>35</v>
      </c>
      <c r="B100" s="2">
        <f aca="true" t="shared" si="25" ref="B100:AD100">B94-B95-B96-B97-B98-B99</f>
        <v>118364.6</v>
      </c>
      <c r="C100" s="2">
        <f t="shared" si="25"/>
        <v>57021.79999999997</v>
      </c>
      <c r="D100" s="2">
        <f t="shared" si="25"/>
        <v>6122.799999999999</v>
      </c>
      <c r="E100" s="2">
        <f t="shared" si="25"/>
        <v>3619.3</v>
      </c>
      <c r="F100" s="2">
        <f t="shared" si="25"/>
        <v>2514</v>
      </c>
      <c r="G100" s="2">
        <f t="shared" si="25"/>
        <v>2729.7000000000003</v>
      </c>
      <c r="H100" s="2">
        <f t="shared" si="25"/>
        <v>7613.600000000001</v>
      </c>
      <c r="I100" s="2">
        <f t="shared" si="25"/>
        <v>9606.6</v>
      </c>
      <c r="J100" s="2">
        <f t="shared" si="25"/>
        <v>4479.6</v>
      </c>
      <c r="K100" s="2">
        <f t="shared" si="25"/>
        <v>4301.6</v>
      </c>
      <c r="L100" s="2">
        <f t="shared" si="25"/>
        <v>12540</v>
      </c>
      <c r="M100" s="2">
        <f t="shared" si="25"/>
        <v>3394.0999999999967</v>
      </c>
      <c r="N100" s="2">
        <f t="shared" si="25"/>
        <v>3078.4000000000005</v>
      </c>
      <c r="O100" s="2">
        <f t="shared" si="25"/>
        <v>8395</v>
      </c>
      <c r="P100" s="2">
        <f t="shared" si="25"/>
        <v>6768</v>
      </c>
      <c r="Q100" s="2">
        <f t="shared" si="25"/>
        <v>6728.5</v>
      </c>
      <c r="R100" s="2">
        <f t="shared" si="25"/>
        <v>6831.099999999999</v>
      </c>
      <c r="S100" s="2">
        <f t="shared" si="25"/>
        <v>2292.6</v>
      </c>
      <c r="T100" s="2">
        <f t="shared" si="25"/>
        <v>4644.099999999999</v>
      </c>
      <c r="U100" s="2">
        <f t="shared" si="25"/>
        <v>5533.8</v>
      </c>
      <c r="V100" s="2">
        <f t="shared" si="25"/>
        <v>1830.8999999999962</v>
      </c>
      <c r="W100" s="2">
        <f t="shared" si="25"/>
        <v>16056.400000000001</v>
      </c>
      <c r="X100" s="2">
        <f t="shared" si="25"/>
        <v>2767.2</v>
      </c>
      <c r="Y100" s="2">
        <f t="shared" si="25"/>
        <v>9672.4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131519.69999999998</v>
      </c>
      <c r="AG100" s="2">
        <f>AG94-AG95-AG96-AG97-AG98-AG99</f>
        <v>43866.700000000004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D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H53" sqref="H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69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70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19296.6</v>
      </c>
      <c r="C7" s="72">
        <v>23911.4</v>
      </c>
      <c r="D7" s="45"/>
      <c r="E7" s="46">
        <v>19296.6</v>
      </c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35655.10721</v>
      </c>
      <c r="C8" s="40">
        <v>80194.1</v>
      </c>
      <c r="D8" s="43">
        <v>7963.7</v>
      </c>
      <c r="E8" s="55">
        <v>5037.90721</v>
      </c>
      <c r="F8" s="55">
        <v>2503.4</v>
      </c>
      <c r="G8" s="55">
        <v>3827.5</v>
      </c>
      <c r="H8" s="55">
        <v>7328.5</v>
      </c>
      <c r="I8" s="55">
        <v>8994.1</v>
      </c>
      <c r="J8" s="56"/>
      <c r="K8" s="55"/>
      <c r="L8" s="55"/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141186.59999999998</v>
      </c>
      <c r="C9" s="24">
        <f t="shared" si="0"/>
        <v>96681.2</v>
      </c>
      <c r="D9" s="24">
        <f t="shared" si="0"/>
        <v>7963.7</v>
      </c>
      <c r="E9" s="24">
        <f t="shared" si="0"/>
        <v>5037.885</v>
      </c>
      <c r="F9" s="24">
        <f t="shared" si="0"/>
        <v>2503.3999999999996</v>
      </c>
      <c r="G9" s="24">
        <f t="shared" si="0"/>
        <v>3857.1</v>
      </c>
      <c r="H9" s="24">
        <f t="shared" si="0"/>
        <v>7364.5</v>
      </c>
      <c r="I9" s="24">
        <f t="shared" si="0"/>
        <v>3889.6000000000004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30616.185000000005</v>
      </c>
      <c r="AG9" s="50">
        <f>AG10+AG15+AG24+AG33+AG47+AG52+AG54+AG61+AG62+AG71+AG72+AG76+AG88+AG81+AG83+AG82+AG69+AG89+AG91+AG90+AG70+AG40+AG92</f>
        <v>207251.615</v>
      </c>
      <c r="AH9" s="49"/>
      <c r="AI9" s="49"/>
    </row>
    <row r="10" spans="1:33" ht="15.75">
      <c r="A10" s="77" t="s">
        <v>4</v>
      </c>
      <c r="B10" s="26">
        <v>13285.7</v>
      </c>
      <c r="C10" s="26">
        <v>18703.4</v>
      </c>
      <c r="D10" s="22">
        <v>92</v>
      </c>
      <c r="E10" s="22">
        <v>221.4</v>
      </c>
      <c r="F10" s="22">
        <f>95.5+1.6+55.3</f>
        <v>152.39999999999998</v>
      </c>
      <c r="G10" s="22">
        <v>25.7</v>
      </c>
      <c r="H10" s="22">
        <f>31.5+148.1</f>
        <v>179.6</v>
      </c>
      <c r="I10" s="22">
        <f>93.2+15</f>
        <v>108.2</v>
      </c>
      <c r="J10" s="25"/>
      <c r="K10" s="22"/>
      <c r="L10" s="22"/>
      <c r="M10" s="22"/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779.3</v>
      </c>
      <c r="AG10" s="27">
        <f>B10+C10-AF10</f>
        <v>31209.800000000003</v>
      </c>
    </row>
    <row r="11" spans="1:33" ht="15.75">
      <c r="A11" s="78" t="s">
        <v>5</v>
      </c>
      <c r="B11" s="25">
        <v>12706.1</v>
      </c>
      <c r="C11" s="26">
        <v>16317.4</v>
      </c>
      <c r="D11" s="22">
        <v>83.4</v>
      </c>
      <c r="E11" s="22">
        <v>192.8</v>
      </c>
      <c r="F11" s="22">
        <v>95.5</v>
      </c>
      <c r="G11" s="22"/>
      <c r="H11" s="22"/>
      <c r="I11" s="22">
        <v>93.2</v>
      </c>
      <c r="J11" s="26"/>
      <c r="K11" s="22"/>
      <c r="L11" s="22"/>
      <c r="M11" s="22"/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464.90000000000003</v>
      </c>
      <c r="AG11" s="27">
        <f>B11+C11-AF11</f>
        <v>28558.6</v>
      </c>
    </row>
    <row r="12" spans="1:33" ht="15.75">
      <c r="A12" s="78" t="s">
        <v>2</v>
      </c>
      <c r="B12" s="25">
        <v>87.5</v>
      </c>
      <c r="C12" s="26">
        <v>173.1</v>
      </c>
      <c r="D12" s="22"/>
      <c r="E12" s="22"/>
      <c r="F12" s="22">
        <v>1.6</v>
      </c>
      <c r="G12" s="22"/>
      <c r="H12" s="22">
        <v>31.5</v>
      </c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33.1</v>
      </c>
      <c r="AG12" s="27">
        <f>B12+C12-AF12</f>
        <v>227.50000000000003</v>
      </c>
    </row>
    <row r="13" spans="1:33" ht="15.7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78" t="s">
        <v>23</v>
      </c>
      <c r="B14" s="26">
        <f aca="true" t="shared" si="2" ref="B14:AD14">B10-B11-B12</f>
        <v>492.10000000000036</v>
      </c>
      <c r="C14" s="26">
        <f t="shared" si="2"/>
        <v>2212.900000000002</v>
      </c>
      <c r="D14" s="22">
        <f t="shared" si="2"/>
        <v>8.599999999999994</v>
      </c>
      <c r="E14" s="22">
        <f t="shared" si="2"/>
        <v>28.599999999999994</v>
      </c>
      <c r="F14" s="22">
        <f t="shared" si="2"/>
        <v>55.299999999999976</v>
      </c>
      <c r="G14" s="22">
        <f t="shared" si="2"/>
        <v>25.7</v>
      </c>
      <c r="H14" s="22">
        <f t="shared" si="2"/>
        <v>148.1</v>
      </c>
      <c r="I14" s="22">
        <f t="shared" si="2"/>
        <v>15</v>
      </c>
      <c r="J14" s="22">
        <f t="shared" si="2"/>
        <v>0</v>
      </c>
      <c r="K14" s="22">
        <f t="shared" si="2"/>
        <v>0</v>
      </c>
      <c r="L14" s="22">
        <f t="shared" si="2"/>
        <v>0</v>
      </c>
      <c r="M14" s="22">
        <f t="shared" si="2"/>
        <v>0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281.29999999999995</v>
      </c>
      <c r="AG14" s="27">
        <f>AG10-AG11-AG12-AG13</f>
        <v>2423.7000000000044</v>
      </c>
    </row>
    <row r="15" spans="1:33" ht="15" customHeight="1">
      <c r="A15" s="77" t="s">
        <v>6</v>
      </c>
      <c r="B15" s="26">
        <v>47750.6</v>
      </c>
      <c r="C15" s="26">
        <v>35238.4</v>
      </c>
      <c r="D15" s="44"/>
      <c r="E15" s="44">
        <v>61</v>
      </c>
      <c r="F15" s="22"/>
      <c r="G15" s="22"/>
      <c r="H15" s="22">
        <f>362.7+69.8+31.1</f>
        <v>463.6</v>
      </c>
      <c r="I15" s="22">
        <f>406+36.7+138.9</f>
        <v>581.6</v>
      </c>
      <c r="J15" s="26"/>
      <c r="K15" s="22"/>
      <c r="L15" s="22"/>
      <c r="M15" s="22"/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1106.2</v>
      </c>
      <c r="AG15" s="27">
        <f aca="true" t="shared" si="3" ref="AG15:AG31">B15+C15-AF15</f>
        <v>81882.8</v>
      </c>
    </row>
    <row r="16" spans="1:34" s="70" customFormat="1" ht="15" customHeight="1">
      <c r="A16" s="79" t="s">
        <v>38</v>
      </c>
      <c r="B16" s="68">
        <v>18894.2</v>
      </c>
      <c r="C16" s="68">
        <v>17800.8</v>
      </c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0</v>
      </c>
      <c r="AG16" s="71">
        <f t="shared" si="3"/>
        <v>36695</v>
      </c>
      <c r="AH16" s="75"/>
    </row>
    <row r="17" spans="1:34" ht="15.75">
      <c r="A17" s="78" t="s">
        <v>5</v>
      </c>
      <c r="B17" s="26">
        <v>40521.3</v>
      </c>
      <c r="C17" s="26">
        <v>21050.9</v>
      </c>
      <c r="D17" s="22"/>
      <c r="E17" s="22">
        <v>61</v>
      </c>
      <c r="F17" s="22"/>
      <c r="G17" s="22"/>
      <c r="H17" s="22"/>
      <c r="I17" s="22"/>
      <c r="J17" s="26"/>
      <c r="K17" s="22"/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61</v>
      </c>
      <c r="AG17" s="27">
        <f t="shared" si="3"/>
        <v>61511.200000000004</v>
      </c>
      <c r="AH17" s="6"/>
    </row>
    <row r="18" spans="1:35" ht="15.75">
      <c r="A18" s="78" t="s">
        <v>3</v>
      </c>
      <c r="B18" s="26">
        <v>28.5</v>
      </c>
      <c r="C18" s="26">
        <v>29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57.5</v>
      </c>
      <c r="AH18" s="6"/>
      <c r="AI18" s="6"/>
    </row>
    <row r="19" spans="1:33" ht="15.75">
      <c r="A19" s="78" t="s">
        <v>1</v>
      </c>
      <c r="B19" s="26">
        <v>2464.9</v>
      </c>
      <c r="C19" s="26">
        <v>1068.6</v>
      </c>
      <c r="D19" s="22"/>
      <c r="E19" s="22"/>
      <c r="F19" s="22"/>
      <c r="G19" s="22"/>
      <c r="H19" s="22">
        <v>362.7</v>
      </c>
      <c r="I19" s="22">
        <v>406</v>
      </c>
      <c r="J19" s="26"/>
      <c r="K19" s="22"/>
      <c r="L19" s="22"/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768.7</v>
      </c>
      <c r="AG19" s="27">
        <f t="shared" si="3"/>
        <v>2764.8</v>
      </c>
    </row>
    <row r="20" spans="1:33" ht="15.75">
      <c r="A20" s="78" t="s">
        <v>2</v>
      </c>
      <c r="B20" s="26">
        <v>1327.2</v>
      </c>
      <c r="C20" s="26">
        <v>6958.2</v>
      </c>
      <c r="D20" s="22"/>
      <c r="E20" s="22"/>
      <c r="F20" s="22"/>
      <c r="G20" s="22"/>
      <c r="H20" s="22">
        <v>69.8</v>
      </c>
      <c r="I20" s="22">
        <v>36.7</v>
      </c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106.5</v>
      </c>
      <c r="AG20" s="27">
        <f t="shared" si="3"/>
        <v>8178.9</v>
      </c>
    </row>
    <row r="21" spans="1:33" ht="15.75">
      <c r="A21" s="78" t="s">
        <v>16</v>
      </c>
      <c r="B21" s="26">
        <v>1574.3</v>
      </c>
      <c r="C21" s="26">
        <v>356.5</v>
      </c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0</v>
      </c>
      <c r="AG21" s="27">
        <f t="shared" si="3"/>
        <v>1930.8</v>
      </c>
    </row>
    <row r="22" spans="1:33" ht="15.7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78" t="s">
        <v>23</v>
      </c>
      <c r="B23" s="26">
        <f aca="true" t="shared" si="4" ref="B23:AD23">B15-B17-B18-B19-B20-B21-B22</f>
        <v>1834.3999999999962</v>
      </c>
      <c r="C23" s="26">
        <f t="shared" si="4"/>
        <v>5775.2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31.100000000000037</v>
      </c>
      <c r="I23" s="22">
        <f t="shared" si="4"/>
        <v>138.90000000000003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170.00000000000006</v>
      </c>
      <c r="AG23" s="27">
        <f t="shared" si="3"/>
        <v>7439.599999999996</v>
      </c>
    </row>
    <row r="24" spans="1:36" ht="15" customHeight="1">
      <c r="A24" s="77" t="s">
        <v>7</v>
      </c>
      <c r="B24" s="26">
        <f>27850.8-2430.9</f>
        <v>25419.899999999998</v>
      </c>
      <c r="C24" s="26">
        <v>19011</v>
      </c>
      <c r="D24" s="22"/>
      <c r="E24" s="22"/>
      <c r="F24" s="22"/>
      <c r="G24" s="22">
        <f>254.3+229.8+29.4</f>
        <v>513.5</v>
      </c>
      <c r="H24" s="22">
        <f>124.1+36</f>
        <v>160.1</v>
      </c>
      <c r="I24" s="22"/>
      <c r="J24" s="26"/>
      <c r="K24" s="22"/>
      <c r="L24" s="22"/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673.6</v>
      </c>
      <c r="AG24" s="27">
        <f t="shared" si="3"/>
        <v>43757.299999999996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540.7</v>
      </c>
      <c r="D25" s="66"/>
      <c r="E25" s="66"/>
      <c r="F25" s="66"/>
      <c r="G25" s="66">
        <v>29.4</v>
      </c>
      <c r="H25" s="66">
        <v>36</v>
      </c>
      <c r="I25" s="66"/>
      <c r="J25" s="68"/>
      <c r="K25" s="66"/>
      <c r="L25" s="66"/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65.4</v>
      </c>
      <c r="AG25" s="71">
        <f t="shared" si="3"/>
        <v>20331.7</v>
      </c>
      <c r="AH25" s="75"/>
    </row>
    <row r="26" spans="1:34" ht="15.7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78" t="s">
        <v>23</v>
      </c>
      <c r="B32" s="26">
        <f aca="true" t="shared" si="5" ref="B32:AD32">B24</f>
        <v>25419.899999999998</v>
      </c>
      <c r="C32" s="26">
        <f t="shared" si="5"/>
        <v>19011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513.5</v>
      </c>
      <c r="H32" s="22">
        <f t="shared" si="5"/>
        <v>160.1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673.6</v>
      </c>
      <c r="AG32" s="27">
        <f>AG24</f>
        <v>43757.299999999996</v>
      </c>
    </row>
    <row r="33" spans="1:33" ht="15" customHeight="1">
      <c r="A33" s="77" t="s">
        <v>8</v>
      </c>
      <c r="B33" s="26">
        <v>246.6</v>
      </c>
      <c r="C33" s="26">
        <v>434.8</v>
      </c>
      <c r="D33" s="22"/>
      <c r="E33" s="22"/>
      <c r="F33" s="22"/>
      <c r="G33" s="22"/>
      <c r="H33" s="22"/>
      <c r="I33" s="22">
        <f>0.6+30.4</f>
        <v>31</v>
      </c>
      <c r="J33" s="26"/>
      <c r="K33" s="22"/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31</v>
      </c>
      <c r="AG33" s="27">
        <f aca="true" t="shared" si="6" ref="AG33:AG38">B33+C33-AF33</f>
        <v>650.4</v>
      </c>
    </row>
    <row r="34" spans="1:33" ht="15.75">
      <c r="A34" s="78" t="s">
        <v>5</v>
      </c>
      <c r="B34" s="26">
        <v>219.3</v>
      </c>
      <c r="C34" s="26">
        <v>50.5</v>
      </c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0</v>
      </c>
      <c r="AG34" s="27">
        <f t="shared" si="6"/>
        <v>269.8</v>
      </c>
    </row>
    <row r="35" spans="1:33" ht="15.75">
      <c r="A35" s="78" t="s">
        <v>1</v>
      </c>
      <c r="B35" s="26">
        <v>0</v>
      </c>
      <c r="C35" s="26">
        <v>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6.7</v>
      </c>
    </row>
    <row r="36" spans="1:33" ht="15.75">
      <c r="A36" s="78" t="s">
        <v>2</v>
      </c>
      <c r="B36" s="80">
        <v>4</v>
      </c>
      <c r="C36" s="26">
        <v>11.6</v>
      </c>
      <c r="D36" s="22"/>
      <c r="E36" s="22"/>
      <c r="F36" s="22"/>
      <c r="G36" s="22"/>
      <c r="H36" s="22"/>
      <c r="I36" s="22">
        <v>0.6</v>
      </c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0.6</v>
      </c>
      <c r="AG36" s="27">
        <f t="shared" si="6"/>
        <v>15</v>
      </c>
    </row>
    <row r="37" spans="1:33" ht="15.75">
      <c r="A37" s="78" t="s">
        <v>16</v>
      </c>
      <c r="B37" s="26">
        <v>0</v>
      </c>
      <c r="C37" s="26">
        <v>217.3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217.3</v>
      </c>
    </row>
    <row r="38" spans="1:33" ht="15.7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78" t="s">
        <v>23</v>
      </c>
      <c r="B39" s="26">
        <f aca="true" t="shared" si="7" ref="B39:AD39">B33-B34-B36-B38-B37-B35</f>
        <v>23.299999999999983</v>
      </c>
      <c r="C39" s="26">
        <f t="shared" si="7"/>
        <v>148.7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30.4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30.4</v>
      </c>
      <c r="AG39" s="27">
        <f>AG33-AG34-AG36-AG38-AG35-AG37</f>
        <v>141.59999999999997</v>
      </c>
    </row>
    <row r="40" spans="1:33" ht="15" customHeight="1">
      <c r="A40" s="77" t="s">
        <v>29</v>
      </c>
      <c r="B40" s="26">
        <v>923.8</v>
      </c>
      <c r="C40" s="26">
        <v>337.2</v>
      </c>
      <c r="D40" s="22"/>
      <c r="E40" s="22">
        <v>18.5</v>
      </c>
      <c r="F40" s="22"/>
      <c r="G40" s="22">
        <v>0.1</v>
      </c>
      <c r="H40" s="22"/>
      <c r="I40" s="22"/>
      <c r="J40" s="26"/>
      <c r="K40" s="22"/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18.6</v>
      </c>
      <c r="AG40" s="27">
        <f aca="true" t="shared" si="8" ref="AG40:AG45">B40+C40-AF40</f>
        <v>1242.4</v>
      </c>
    </row>
    <row r="41" spans="1:34" ht="15.75">
      <c r="A41" s="78" t="s">
        <v>5</v>
      </c>
      <c r="B41" s="26">
        <v>887.9</v>
      </c>
      <c r="C41" s="26">
        <v>203.5</v>
      </c>
      <c r="D41" s="22"/>
      <c r="E41" s="22">
        <v>18</v>
      </c>
      <c r="F41" s="22"/>
      <c r="G41" s="22"/>
      <c r="H41" s="22"/>
      <c r="I41" s="22"/>
      <c r="J41" s="26"/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18</v>
      </c>
      <c r="AG41" s="27">
        <f t="shared" si="8"/>
        <v>1073.4</v>
      </c>
      <c r="AH41" s="6"/>
    </row>
    <row r="42" spans="1:33" ht="15.75">
      <c r="A42" s="78" t="s">
        <v>3</v>
      </c>
      <c r="B42" s="26">
        <v>0.3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0.3</v>
      </c>
    </row>
    <row r="43" spans="1:33" ht="15.75">
      <c r="A43" s="78" t="s">
        <v>1</v>
      </c>
      <c r="B43" s="26">
        <v>0</v>
      </c>
      <c r="C43" s="26">
        <v>11.1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11.1</v>
      </c>
    </row>
    <row r="44" spans="1:33" ht="15.75">
      <c r="A44" s="78" t="s">
        <v>2</v>
      </c>
      <c r="B44" s="26">
        <v>6.2</v>
      </c>
      <c r="C44" s="26">
        <v>103.1</v>
      </c>
      <c r="D44" s="22"/>
      <c r="E44" s="22">
        <v>0.5</v>
      </c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0.5</v>
      </c>
      <c r="AG44" s="27">
        <f t="shared" si="8"/>
        <v>108.8</v>
      </c>
    </row>
    <row r="45" spans="1:33" ht="15.7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78" t="s">
        <v>23</v>
      </c>
      <c r="B46" s="26">
        <f aca="true" t="shared" si="10" ref="B46:AD46">B40-B41-B42-B43-B44-B45</f>
        <v>29.39999999999998</v>
      </c>
      <c r="C46" s="26">
        <f t="shared" si="10"/>
        <v>19.5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0.1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0.1</v>
      </c>
      <c r="AG46" s="27">
        <f>AG40-AG41-AG42-AG43-AG44-AG45</f>
        <v>48.8</v>
      </c>
    </row>
    <row r="47" spans="1:33" ht="17.25" customHeight="1">
      <c r="A47" s="77" t="s">
        <v>43</v>
      </c>
      <c r="B47" s="25">
        <v>795.7</v>
      </c>
      <c r="C47" s="26">
        <v>2164.9</v>
      </c>
      <c r="D47" s="22"/>
      <c r="E47" s="28">
        <v>31.7</v>
      </c>
      <c r="F47" s="28">
        <v>5.4</v>
      </c>
      <c r="G47" s="28">
        <v>20.8</v>
      </c>
      <c r="H47" s="28"/>
      <c r="I47" s="28">
        <f>1.4</f>
        <v>1.4</v>
      </c>
      <c r="J47" s="29"/>
      <c r="K47" s="28"/>
      <c r="L47" s="28"/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59.300000000000004</v>
      </c>
      <c r="AG47" s="27">
        <f>B47+C47-AF47</f>
        <v>2901.3</v>
      </c>
    </row>
    <row r="48" spans="1:33" ht="15.75">
      <c r="A48" s="78" t="s">
        <v>5</v>
      </c>
      <c r="B48" s="26">
        <v>18.6</v>
      </c>
      <c r="C48" s="26">
        <v>35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53.6</v>
      </c>
    </row>
    <row r="49" spans="1:33" ht="15.75">
      <c r="A49" s="78" t="s">
        <v>16</v>
      </c>
      <c r="B49" s="26">
        <v>610.9</v>
      </c>
      <c r="C49" s="26">
        <v>1752.6</v>
      </c>
      <c r="D49" s="22"/>
      <c r="E49" s="22"/>
      <c r="F49" s="22"/>
      <c r="G49" s="22">
        <v>20.8</v>
      </c>
      <c r="H49" s="22"/>
      <c r="I49" s="22"/>
      <c r="J49" s="26"/>
      <c r="K49" s="22"/>
      <c r="L49" s="22"/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20.8</v>
      </c>
      <c r="AG49" s="27">
        <f>B49+C49-AF49</f>
        <v>2342.7</v>
      </c>
    </row>
    <row r="50" spans="1:33" ht="30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82" t="s">
        <v>23</v>
      </c>
      <c r="B51" s="26">
        <f aca="true" t="shared" si="11" ref="B51:AD51">B47-B48-B49</f>
        <v>166.20000000000005</v>
      </c>
      <c r="C51" s="26">
        <f t="shared" si="11"/>
        <v>377.3000000000002</v>
      </c>
      <c r="D51" s="22">
        <f t="shared" si="11"/>
        <v>0</v>
      </c>
      <c r="E51" s="22">
        <f t="shared" si="11"/>
        <v>31.7</v>
      </c>
      <c r="F51" s="22">
        <f t="shared" si="11"/>
        <v>5.4</v>
      </c>
      <c r="G51" s="22">
        <f t="shared" si="11"/>
        <v>0</v>
      </c>
      <c r="H51" s="22">
        <f t="shared" si="11"/>
        <v>0</v>
      </c>
      <c r="I51" s="22">
        <f t="shared" si="11"/>
        <v>1.4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38.5</v>
      </c>
      <c r="AG51" s="27">
        <f>AG47-AG49-AG48</f>
        <v>505.00000000000034</v>
      </c>
    </row>
    <row r="52" spans="1:33" ht="15" customHeight="1">
      <c r="A52" s="77" t="s">
        <v>0</v>
      </c>
      <c r="B52" s="26">
        <v>3754.4</v>
      </c>
      <c r="C52" s="26">
        <v>1623.9</v>
      </c>
      <c r="D52" s="22"/>
      <c r="E52" s="22">
        <v>753.9</v>
      </c>
      <c r="F52" s="22">
        <f>6.6+9.7</f>
        <v>16.299999999999997</v>
      </c>
      <c r="G52" s="22">
        <v>68</v>
      </c>
      <c r="H52" s="22">
        <v>179.2</v>
      </c>
      <c r="I52" s="22">
        <f>270.2</f>
        <v>270.2</v>
      </c>
      <c r="J52" s="26"/>
      <c r="K52" s="22"/>
      <c r="L52" s="22"/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1287.6</v>
      </c>
      <c r="AG52" s="27">
        <f aca="true" t="shared" si="12" ref="AG52:AG59">B52+C52-AF52</f>
        <v>4090.7000000000003</v>
      </c>
    </row>
    <row r="53" spans="1:33" ht="15" customHeight="1">
      <c r="A53" s="78" t="s">
        <v>2</v>
      </c>
      <c r="B53" s="26">
        <v>869.8</v>
      </c>
      <c r="C53" s="26">
        <v>372.3</v>
      </c>
      <c r="D53" s="22"/>
      <c r="E53" s="22">
        <v>567.4</v>
      </c>
      <c r="F53" s="22">
        <v>6.6</v>
      </c>
      <c r="G53" s="22"/>
      <c r="H53" s="22">
        <v>33.7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607.7</v>
      </c>
      <c r="AG53" s="27">
        <f t="shared" si="12"/>
        <v>634.3999999999999</v>
      </c>
    </row>
    <row r="54" spans="1:34" ht="15.75">
      <c r="A54" s="77" t="s">
        <v>9</v>
      </c>
      <c r="B54" s="80">
        <f>5803.7+18</f>
        <v>5821.7</v>
      </c>
      <c r="C54" s="26">
        <v>3123.1</v>
      </c>
      <c r="D54" s="22">
        <v>18</v>
      </c>
      <c r="E54" s="22">
        <v>16.1</v>
      </c>
      <c r="F54" s="22">
        <v>9.2</v>
      </c>
      <c r="G54" s="22">
        <v>4.2</v>
      </c>
      <c r="H54" s="22">
        <v>70.1</v>
      </c>
      <c r="I54" s="22">
        <v>0.2</v>
      </c>
      <c r="J54" s="26"/>
      <c r="K54" s="22"/>
      <c r="L54" s="22"/>
      <c r="M54" s="22"/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117.8</v>
      </c>
      <c r="AG54" s="22">
        <f t="shared" si="12"/>
        <v>8827</v>
      </c>
      <c r="AH54" s="6"/>
    </row>
    <row r="55" spans="1:34" ht="15.75">
      <c r="A55" s="78" t="s">
        <v>5</v>
      </c>
      <c r="B55" s="26">
        <v>4959.1</v>
      </c>
      <c r="C55" s="26">
        <v>2191.9</v>
      </c>
      <c r="D55" s="22"/>
      <c r="E55" s="22"/>
      <c r="F55" s="22">
        <v>9.2</v>
      </c>
      <c r="G55" s="22">
        <v>4.2</v>
      </c>
      <c r="H55" s="22">
        <v>70.1</v>
      </c>
      <c r="I55" s="22"/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83.5</v>
      </c>
      <c r="AG55" s="22">
        <f t="shared" si="12"/>
        <v>7067.5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78" t="s">
        <v>2</v>
      </c>
      <c r="B57" s="25">
        <v>146.7</v>
      </c>
      <c r="C57" s="26">
        <v>144.9</v>
      </c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0</v>
      </c>
      <c r="AG57" s="22">
        <f t="shared" si="12"/>
        <v>291.6</v>
      </c>
    </row>
    <row r="58" spans="1:33" ht="15.7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78" t="s">
        <v>23</v>
      </c>
      <c r="B60" s="26">
        <f aca="true" t="shared" si="13" ref="B60:AD60">B54-B55-B57-B59-B56-B58</f>
        <v>715.8999999999994</v>
      </c>
      <c r="C60" s="26">
        <f t="shared" si="13"/>
        <v>786.2999999999998</v>
      </c>
      <c r="D60" s="22">
        <f t="shared" si="13"/>
        <v>18</v>
      </c>
      <c r="E60" s="22">
        <f t="shared" si="13"/>
        <v>16.1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0.2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34.3</v>
      </c>
      <c r="AG60" s="22">
        <f>AG54-AG55-AG57-AG59-AG56-AG58</f>
        <v>1467.9</v>
      </c>
    </row>
    <row r="61" spans="1:33" ht="15" customHeight="1">
      <c r="A61" s="77" t="s">
        <v>10</v>
      </c>
      <c r="B61" s="26">
        <v>106.7</v>
      </c>
      <c r="C61" s="26">
        <v>701.1</v>
      </c>
      <c r="D61" s="22"/>
      <c r="E61" s="22">
        <v>65.1</v>
      </c>
      <c r="F61" s="22"/>
      <c r="G61" s="22"/>
      <c r="H61" s="22">
        <v>0.4</v>
      </c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65.5</v>
      </c>
      <c r="AG61" s="22">
        <f aca="true" t="shared" si="15" ref="AG61:AG67">B61+C61-AF61</f>
        <v>742.3000000000001</v>
      </c>
    </row>
    <row r="62" spans="1:33" ht="15" customHeight="1">
      <c r="A62" s="77" t="s">
        <v>11</v>
      </c>
      <c r="B62" s="26">
        <v>2268</v>
      </c>
      <c r="C62" s="26">
        <v>619.8</v>
      </c>
      <c r="D62" s="22"/>
      <c r="E62" s="22"/>
      <c r="F62" s="22">
        <v>23.1</v>
      </c>
      <c r="G62" s="22">
        <v>14.2</v>
      </c>
      <c r="H62" s="22"/>
      <c r="I62" s="22">
        <f>0.5+3+52.6</f>
        <v>56.1</v>
      </c>
      <c r="J62" s="26"/>
      <c r="K62" s="22"/>
      <c r="L62" s="22"/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93.4</v>
      </c>
      <c r="AG62" s="22">
        <f t="shared" si="15"/>
        <v>2794.4</v>
      </c>
    </row>
    <row r="63" spans="1:34" ht="15.75">
      <c r="A63" s="78" t="s">
        <v>5</v>
      </c>
      <c r="B63" s="26">
        <v>1403.3</v>
      </c>
      <c r="C63" s="26">
        <v>151.9</v>
      </c>
      <c r="D63" s="22"/>
      <c r="E63" s="22"/>
      <c r="F63" s="22"/>
      <c r="G63" s="22">
        <v>14.2</v>
      </c>
      <c r="H63" s="22"/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14.2</v>
      </c>
      <c r="AG63" s="22">
        <f t="shared" si="15"/>
        <v>1541</v>
      </c>
      <c r="AH63" s="64"/>
    </row>
    <row r="64" spans="1:34" ht="15.75">
      <c r="A64" s="78" t="s">
        <v>3</v>
      </c>
      <c r="B64" s="26">
        <v>3.2</v>
      </c>
      <c r="C64" s="26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3.2</v>
      </c>
      <c r="AH64" s="6"/>
    </row>
    <row r="65" spans="1:34" ht="15.75">
      <c r="A65" s="78" t="s">
        <v>1</v>
      </c>
      <c r="B65" s="26">
        <v>71.3</v>
      </c>
      <c r="C65" s="26">
        <v>132.7</v>
      </c>
      <c r="D65" s="22"/>
      <c r="E65" s="22"/>
      <c r="F65" s="22"/>
      <c r="G65" s="22"/>
      <c r="H65" s="22"/>
      <c r="I65" s="22">
        <v>3</v>
      </c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</v>
      </c>
      <c r="AG65" s="22">
        <f t="shared" si="15"/>
        <v>201</v>
      </c>
      <c r="AH65" s="6"/>
    </row>
    <row r="66" spans="1:33" ht="15.75">
      <c r="A66" s="78" t="s">
        <v>2</v>
      </c>
      <c r="B66" s="26">
        <v>18.5</v>
      </c>
      <c r="C66" s="26">
        <v>89</v>
      </c>
      <c r="D66" s="22"/>
      <c r="E66" s="22"/>
      <c r="F66" s="22"/>
      <c r="G66" s="22"/>
      <c r="H66" s="22"/>
      <c r="I66" s="22">
        <v>0.5</v>
      </c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0.5</v>
      </c>
      <c r="AG66" s="22">
        <f t="shared" si="15"/>
        <v>107</v>
      </c>
    </row>
    <row r="67" spans="1:33" ht="15.75">
      <c r="A67" s="78" t="s">
        <v>16</v>
      </c>
      <c r="B67" s="26">
        <v>43.3</v>
      </c>
      <c r="C67" s="26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53</v>
      </c>
    </row>
    <row r="68" spans="1:33" ht="15.75">
      <c r="A68" s="78" t="s">
        <v>23</v>
      </c>
      <c r="B68" s="26">
        <f aca="true" t="shared" si="16" ref="B68:AD68">B62-B63-B66-B67-B65-B64</f>
        <v>728.4000000000001</v>
      </c>
      <c r="C68" s="26">
        <f t="shared" si="16"/>
        <v>236.5</v>
      </c>
      <c r="D68" s="22">
        <f t="shared" si="16"/>
        <v>0</v>
      </c>
      <c r="E68" s="22">
        <f t="shared" si="16"/>
        <v>0</v>
      </c>
      <c r="F68" s="22">
        <f t="shared" si="16"/>
        <v>23.1</v>
      </c>
      <c r="G68" s="22">
        <f t="shared" si="16"/>
        <v>0</v>
      </c>
      <c r="H68" s="22">
        <f t="shared" si="16"/>
        <v>0</v>
      </c>
      <c r="I68" s="22">
        <f t="shared" si="16"/>
        <v>52.6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75.7</v>
      </c>
      <c r="AG68" s="22">
        <f>AG62-AG63-AG66-AG67-AG65-AG64</f>
        <v>889.2</v>
      </c>
    </row>
    <row r="69" spans="1:33" ht="31.5">
      <c r="A69" s="77" t="s">
        <v>46</v>
      </c>
      <c r="B69" s="26">
        <v>3287.7</v>
      </c>
      <c r="C69" s="26">
        <v>106</v>
      </c>
      <c r="D69" s="22"/>
      <c r="E69" s="22">
        <v>1771.1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1771.1</v>
      </c>
      <c r="AG69" s="30">
        <f aca="true" t="shared" si="17" ref="AG69:AG92">B69+C69-AF69</f>
        <v>1622.6</v>
      </c>
    </row>
    <row r="70" spans="1:33" ht="15.7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77" t="s">
        <v>47</v>
      </c>
      <c r="B71" s="26">
        <v>551.9</v>
      </c>
      <c r="C71" s="29">
        <v>306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857.9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932.4</v>
      </c>
      <c r="C72" s="22">
        <v>4666.1</v>
      </c>
      <c r="D72" s="22"/>
      <c r="E72" s="22">
        <v>231.2</v>
      </c>
      <c r="F72" s="22">
        <v>39</v>
      </c>
      <c r="G72" s="22"/>
      <c r="H72" s="22">
        <f>16.9+6.3</f>
        <v>23.2</v>
      </c>
      <c r="I72" s="22">
        <v>59.2</v>
      </c>
      <c r="J72" s="26"/>
      <c r="K72" s="22"/>
      <c r="L72" s="22"/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352.59999999999997</v>
      </c>
      <c r="AG72" s="30">
        <f t="shared" si="17"/>
        <v>5245.9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>
        <v>39</v>
      </c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100.8</v>
      </c>
      <c r="C74" s="22">
        <v>1033.5</v>
      </c>
      <c r="D74" s="22"/>
      <c r="E74" s="22">
        <v>32.8</v>
      </c>
      <c r="F74" s="22"/>
      <c r="G74" s="22"/>
      <c r="H74" s="22">
        <v>16.9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49.699999999999996</v>
      </c>
      <c r="AG74" s="30">
        <f t="shared" si="17"/>
        <v>1084.6</v>
      </c>
    </row>
    <row r="75" spans="1:33" ht="15" customHeight="1">
      <c r="A75" s="3" t="s">
        <v>16</v>
      </c>
      <c r="B75" s="22">
        <v>136.7</v>
      </c>
      <c r="C75" s="22">
        <v>330.6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467.3</v>
      </c>
    </row>
    <row r="76" spans="1:33" s="11" customFormat="1" ht="15.75">
      <c r="A76" s="12" t="s">
        <v>49</v>
      </c>
      <c r="B76" s="22">
        <v>136.9</v>
      </c>
      <c r="C76" s="22">
        <v>122.5</v>
      </c>
      <c r="D76" s="22"/>
      <c r="E76" s="28"/>
      <c r="F76" s="28">
        <v>13.8</v>
      </c>
      <c r="G76" s="28"/>
      <c r="H76" s="28"/>
      <c r="I76" s="28"/>
      <c r="J76" s="29"/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13.8</v>
      </c>
      <c r="AG76" s="30">
        <f t="shared" si="17"/>
        <v>245.59999999999997</v>
      </c>
    </row>
    <row r="77" spans="1:33" s="11" customFormat="1" ht="15.75">
      <c r="A77" s="3" t="s">
        <v>5</v>
      </c>
      <c r="B77" s="22">
        <v>114</v>
      </c>
      <c r="C77" s="22">
        <v>7</v>
      </c>
      <c r="D77" s="22"/>
      <c r="E77" s="28"/>
      <c r="F77" s="28">
        <v>13.8</v>
      </c>
      <c r="G77" s="28"/>
      <c r="H77" s="28"/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13.8</v>
      </c>
      <c r="AG77" s="30">
        <f t="shared" si="17"/>
        <v>107.2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5.9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6.2</v>
      </c>
    </row>
    <row r="81" spans="1:35" s="11" customFormat="1" ht="15.75">
      <c r="A81" s="12" t="s">
        <v>50</v>
      </c>
      <c r="B81" s="22">
        <v>56.8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105.69999999999999</v>
      </c>
      <c r="AI81" s="76"/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64</v>
      </c>
      <c r="B83" s="28">
        <v>19.4</v>
      </c>
      <c r="C83" s="28">
        <v>1158.5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1177.9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77" t="s">
        <v>51</v>
      </c>
      <c r="B89" s="26">
        <v>6655.6</v>
      </c>
      <c r="C89" s="26">
        <v>1868.7</v>
      </c>
      <c r="D89" s="22"/>
      <c r="E89" s="22">
        <f>258.422+245.763</f>
        <v>504.18500000000006</v>
      </c>
      <c r="F89" s="22">
        <v>1053</v>
      </c>
      <c r="G89" s="22">
        <v>1276.6</v>
      </c>
      <c r="H89" s="22"/>
      <c r="I89" s="22">
        <v>101.5</v>
      </c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2935.285</v>
      </c>
      <c r="AG89" s="22">
        <f t="shared" si="17"/>
        <v>5589.015000000001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819</v>
      </c>
      <c r="AG90" s="22">
        <f t="shared" si="17"/>
        <v>1638.1</v>
      </c>
      <c r="AH90" s="11"/>
    </row>
    <row r="91" spans="1:34" ht="15.7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.75">
      <c r="A92" s="4" t="s">
        <v>37</v>
      </c>
      <c r="B92" s="22">
        <f>12481+7853.7+6381</f>
        <v>26715.7</v>
      </c>
      <c r="C92" s="22">
        <v>5534</v>
      </c>
      <c r="D92" s="22">
        <v>7853.7</v>
      </c>
      <c r="E92" s="22">
        <v>1363.7</v>
      </c>
      <c r="F92" s="22">
        <v>1191.2</v>
      </c>
      <c r="G92" s="22">
        <v>1934</v>
      </c>
      <c r="H92" s="22">
        <v>6288.3</v>
      </c>
      <c r="I92" s="22">
        <v>1861.2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20492.100000000002</v>
      </c>
      <c r="AG92" s="22">
        <f t="shared" si="17"/>
        <v>11757.599999999999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141186.59999999998</v>
      </c>
      <c r="C94" s="42">
        <f t="shared" si="18"/>
        <v>96681.2</v>
      </c>
      <c r="D94" s="42">
        <f t="shared" si="18"/>
        <v>7963.7</v>
      </c>
      <c r="E94" s="42">
        <f t="shared" si="18"/>
        <v>5037.884999999999</v>
      </c>
      <c r="F94" s="42">
        <f t="shared" si="18"/>
        <v>2503.3999999999996</v>
      </c>
      <c r="G94" s="42">
        <f t="shared" si="18"/>
        <v>3857.1</v>
      </c>
      <c r="H94" s="42">
        <f t="shared" si="18"/>
        <v>7364.5</v>
      </c>
      <c r="I94" s="42">
        <f t="shared" si="18"/>
        <v>3889.6000000000004</v>
      </c>
      <c r="J94" s="42">
        <f t="shared" si="18"/>
        <v>0</v>
      </c>
      <c r="K94" s="42">
        <f t="shared" si="18"/>
        <v>0</v>
      </c>
      <c r="L94" s="42">
        <f t="shared" si="18"/>
        <v>0</v>
      </c>
      <c r="M94" s="42">
        <f t="shared" si="18"/>
        <v>0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30616.185000000005</v>
      </c>
      <c r="AG94" s="58">
        <f>AG10+AG15+AG24+AG33+AG47+AG52+AG54+AG61+AG62+AG69+AG71+AG72+AG76+AG81+AG82+AG83+AG88+AG89+AG90+AG91+AG70+AG40+AG92</f>
        <v>207251.615</v>
      </c>
    </row>
    <row r="95" spans="1:33" ht="15.75">
      <c r="A95" s="3" t="s">
        <v>5</v>
      </c>
      <c r="B95" s="22">
        <f aca="true" t="shared" si="19" ref="B95:AD95">B11+B17+B26+B34+B55+B63+B73+B41+B77+B48</f>
        <v>60868.600000000006</v>
      </c>
      <c r="C95" s="22">
        <f t="shared" si="19"/>
        <v>40008.100000000006</v>
      </c>
      <c r="D95" s="22">
        <f t="shared" si="19"/>
        <v>83.4</v>
      </c>
      <c r="E95" s="22">
        <f t="shared" si="19"/>
        <v>271.8</v>
      </c>
      <c r="F95" s="22">
        <f t="shared" si="19"/>
        <v>157.5</v>
      </c>
      <c r="G95" s="22">
        <f t="shared" si="19"/>
        <v>18.4</v>
      </c>
      <c r="H95" s="22">
        <f t="shared" si="19"/>
        <v>70.1</v>
      </c>
      <c r="I95" s="22">
        <f t="shared" si="19"/>
        <v>93.2</v>
      </c>
      <c r="J95" s="22">
        <f t="shared" si="19"/>
        <v>0</v>
      </c>
      <c r="K95" s="22">
        <f t="shared" si="19"/>
        <v>0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694.4000000000001</v>
      </c>
      <c r="AG95" s="27">
        <f>B95+C95-AF95</f>
        <v>100182.30000000002</v>
      </c>
    </row>
    <row r="96" spans="1:33" ht="15.75">
      <c r="A96" s="3" t="s">
        <v>2</v>
      </c>
      <c r="B96" s="22">
        <f aca="true" t="shared" si="20" ref="B96:AD96">B12+B20+B29+B36+B57+B66+B44+B80+B74+B53</f>
        <v>2561</v>
      </c>
      <c r="C96" s="22">
        <f t="shared" si="20"/>
        <v>8891.599999999999</v>
      </c>
      <c r="D96" s="22">
        <f t="shared" si="20"/>
        <v>0</v>
      </c>
      <c r="E96" s="22">
        <f t="shared" si="20"/>
        <v>600.6999999999999</v>
      </c>
      <c r="F96" s="22">
        <f t="shared" si="20"/>
        <v>8.2</v>
      </c>
      <c r="G96" s="22">
        <f t="shared" si="20"/>
        <v>0</v>
      </c>
      <c r="H96" s="22">
        <f t="shared" si="20"/>
        <v>151.89999999999998</v>
      </c>
      <c r="I96" s="22">
        <f t="shared" si="20"/>
        <v>37.800000000000004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798.5999999999999</v>
      </c>
      <c r="AG96" s="27">
        <f>B96+C96-AF96</f>
        <v>10653.999999999998</v>
      </c>
    </row>
    <row r="97" spans="1:33" ht="15.75">
      <c r="A97" s="3" t="s">
        <v>3</v>
      </c>
      <c r="B97" s="22">
        <f aca="true" t="shared" si="21" ref="B97:AA97">B18+B27+B42+B64+B78</f>
        <v>32</v>
      </c>
      <c r="C97" s="22">
        <f t="shared" si="21"/>
        <v>29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61</v>
      </c>
    </row>
    <row r="98" spans="1:33" ht="15.75">
      <c r="A98" s="3" t="s">
        <v>1</v>
      </c>
      <c r="B98" s="22">
        <f aca="true" t="shared" si="22" ref="B98:AD98">B19+B28+B65+B35+B43+B56+B79</f>
        <v>2536.2000000000003</v>
      </c>
      <c r="C98" s="22">
        <f t="shared" si="22"/>
        <v>1219.1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362.7</v>
      </c>
      <c r="I98" s="22">
        <f t="shared" si="22"/>
        <v>409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771.7</v>
      </c>
      <c r="AG98" s="27">
        <f>B98+C98-AF98</f>
        <v>2983.6000000000004</v>
      </c>
    </row>
    <row r="99" spans="1:33" ht="15.75">
      <c r="A99" s="3" t="s">
        <v>16</v>
      </c>
      <c r="B99" s="22">
        <f aca="true" t="shared" si="23" ref="B99:X99">B21+B30+B49+B37+B58+B13+B75+B67</f>
        <v>2365.2</v>
      </c>
      <c r="C99" s="22">
        <f t="shared" si="23"/>
        <v>2666.7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20.8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20.8</v>
      </c>
      <c r="AG99" s="27">
        <f>B99+C99-AF99</f>
        <v>5011.099999999999</v>
      </c>
    </row>
    <row r="100" spans="1:33" ht="12.75">
      <c r="A100" s="1" t="s">
        <v>35</v>
      </c>
      <c r="B100" s="2">
        <f aca="true" t="shared" si="25" ref="B100:AD100">B94-B95-B96-B97-B98-B99</f>
        <v>72823.59999999998</v>
      </c>
      <c r="C100" s="2">
        <f t="shared" si="25"/>
        <v>43866.7</v>
      </c>
      <c r="D100" s="2">
        <f t="shared" si="25"/>
        <v>7880.3</v>
      </c>
      <c r="E100" s="2">
        <f t="shared" si="25"/>
        <v>4165.384999999999</v>
      </c>
      <c r="F100" s="2">
        <f t="shared" si="25"/>
        <v>2337.7</v>
      </c>
      <c r="G100" s="2">
        <f t="shared" si="25"/>
        <v>3817.8999999999996</v>
      </c>
      <c r="H100" s="2">
        <f t="shared" si="25"/>
        <v>6779.8</v>
      </c>
      <c r="I100" s="2">
        <f t="shared" si="25"/>
        <v>3349.6000000000004</v>
      </c>
      <c r="J100" s="2">
        <f t="shared" si="25"/>
        <v>0</v>
      </c>
      <c r="K100" s="2">
        <f t="shared" si="25"/>
        <v>0</v>
      </c>
      <c r="L100" s="2">
        <f t="shared" si="25"/>
        <v>0</v>
      </c>
      <c r="M100" s="2">
        <f t="shared" si="25"/>
        <v>0</v>
      </c>
      <c r="N100" s="2">
        <f t="shared" si="25"/>
        <v>0</v>
      </c>
      <c r="O100" s="2">
        <f t="shared" si="25"/>
        <v>0</v>
      </c>
      <c r="P100" s="2">
        <f t="shared" si="25"/>
        <v>0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28330.685000000005</v>
      </c>
      <c r="AG100" s="2">
        <f>AG94-AG95-AG96-AG97-AG98-AG99</f>
        <v>88359.61499999996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2017-09-11T06:54:52Z</cp:lastPrinted>
  <dcterms:created xsi:type="dcterms:W3CDTF">2002-11-05T08:53:00Z</dcterms:created>
  <dcterms:modified xsi:type="dcterms:W3CDTF">2017-09-11T07:16:50Z</dcterms:modified>
  <cp:category/>
  <cp:version/>
  <cp:contentType/>
  <cp:contentStatus/>
</cp:coreProperties>
</file>